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C36471C-42FC-48C2-841A-C63D3FEE8D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опа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2" i="1" l="1"/>
  <c r="C122" i="1"/>
  <c r="D122" i="1"/>
  <c r="F122" i="1"/>
  <c r="G122" i="1"/>
  <c r="J122" i="1"/>
  <c r="I946" i="1"/>
  <c r="I2141" i="1"/>
  <c r="I1571" i="1"/>
  <c r="I1572" i="1"/>
  <c r="I1772" i="1"/>
  <c r="I1773" i="1"/>
  <c r="I1775" i="1"/>
  <c r="I1776" i="1"/>
  <c r="I183" i="1"/>
  <c r="I182" i="1"/>
  <c r="I185" i="1"/>
  <c r="I184" i="1"/>
  <c r="I186" i="1"/>
  <c r="I188" i="1"/>
  <c r="I187" i="1"/>
  <c r="I191" i="1"/>
  <c r="I190" i="1"/>
  <c r="I189" i="1"/>
  <c r="I192" i="1"/>
  <c r="I194" i="1"/>
  <c r="I198" i="1"/>
  <c r="I197" i="1"/>
  <c r="I196" i="1"/>
  <c r="I511" i="1"/>
  <c r="I513" i="1"/>
  <c r="I514" i="1"/>
  <c r="I515" i="1"/>
  <c r="I516" i="1"/>
  <c r="I518" i="1"/>
  <c r="I528" i="1"/>
  <c r="I529" i="1"/>
  <c r="I530" i="1"/>
  <c r="I533" i="1"/>
  <c r="I532" i="1"/>
  <c r="I531" i="1"/>
  <c r="I535" i="1"/>
  <c r="I534" i="1"/>
  <c r="I2012" i="1"/>
  <c r="I2421" i="1"/>
  <c r="I2887" i="1"/>
  <c r="I28" i="1"/>
  <c r="I248" i="1"/>
  <c r="I250" i="1"/>
  <c r="I252" i="1"/>
  <c r="I255" i="1"/>
  <c r="I261" i="1"/>
  <c r="I262" i="1"/>
  <c r="I266" i="1"/>
  <c r="I267" i="1"/>
  <c r="I258" i="1"/>
  <c r="I30" i="1"/>
  <c r="I35" i="1"/>
  <c r="I1762" i="1"/>
  <c r="I1758" i="1"/>
  <c r="I1755" i="1"/>
  <c r="I1757" i="1"/>
  <c r="I1764" i="1"/>
  <c r="I2269" i="1"/>
  <c r="I2462" i="1"/>
  <c r="I2477" i="1"/>
  <c r="I2480" i="1"/>
  <c r="I2479" i="1"/>
  <c r="I2482" i="1"/>
  <c r="I2481" i="1"/>
  <c r="I2484" i="1"/>
  <c r="I2483" i="1"/>
  <c r="I2487" i="1"/>
  <c r="I2486" i="1"/>
  <c r="I2485" i="1"/>
  <c r="I2488" i="1"/>
  <c r="I2491" i="1"/>
  <c r="I2490" i="1"/>
  <c r="I2493" i="1"/>
  <c r="I2492" i="1"/>
  <c r="I2496" i="1"/>
  <c r="I2495" i="1"/>
  <c r="I2498" i="1"/>
  <c r="I2497" i="1"/>
  <c r="I2502" i="1"/>
  <c r="I2501" i="1"/>
  <c r="I2505" i="1"/>
  <c r="I2504" i="1"/>
  <c r="I2503" i="1"/>
  <c r="I2507" i="1"/>
  <c r="I2506" i="1"/>
  <c r="I2510" i="1"/>
  <c r="I2509" i="1"/>
  <c r="I2508" i="1"/>
  <c r="I2513" i="1"/>
  <c r="I2512" i="1"/>
  <c r="I2511" i="1"/>
  <c r="I2515" i="1"/>
  <c r="I2514" i="1"/>
  <c r="I2516" i="1"/>
  <c r="I2518" i="1"/>
  <c r="I2517" i="1"/>
  <c r="I2521" i="1"/>
  <c r="I2520" i="1"/>
  <c r="I2519" i="1"/>
  <c r="I2523" i="1"/>
  <c r="I2522" i="1"/>
  <c r="I2524" i="1"/>
  <c r="I2527" i="1"/>
  <c r="I2526" i="1"/>
  <c r="I2525" i="1"/>
  <c r="I2529" i="1"/>
  <c r="I2528" i="1"/>
  <c r="I2532" i="1"/>
  <c r="I2531" i="1"/>
  <c r="I2536" i="1"/>
  <c r="I2535" i="1"/>
  <c r="I2534" i="1"/>
  <c r="I2537" i="1"/>
  <c r="I2538" i="1"/>
  <c r="I2541" i="1"/>
  <c r="I2540" i="1"/>
  <c r="I2544" i="1"/>
  <c r="I2543" i="1"/>
  <c r="I2542" i="1"/>
  <c r="I2549" i="1"/>
  <c r="I2548" i="1"/>
  <c r="I2547" i="1"/>
  <c r="I2552" i="1"/>
  <c r="I2551" i="1"/>
  <c r="I2550" i="1"/>
  <c r="I2555" i="1"/>
  <c r="I2554" i="1"/>
  <c r="I2553" i="1"/>
  <c r="I2559" i="1"/>
  <c r="I2558" i="1"/>
  <c r="I2557" i="1"/>
  <c r="I2556" i="1"/>
  <c r="I2562" i="1"/>
  <c r="I2561" i="1"/>
  <c r="I2560" i="1"/>
  <c r="I2565" i="1"/>
  <c r="I2564" i="1"/>
  <c r="I2566" i="1"/>
  <c r="I2567" i="1"/>
  <c r="I2568" i="1"/>
  <c r="I2572" i="1"/>
  <c r="I2571" i="1"/>
  <c r="I2570" i="1"/>
  <c r="I2575" i="1"/>
  <c r="I2576" i="1"/>
  <c r="I2581" i="1"/>
  <c r="I2580" i="1"/>
  <c r="I2579" i="1"/>
  <c r="I2584" i="1"/>
  <c r="I2583" i="1"/>
  <c r="I2587" i="1"/>
  <c r="I2586" i="1"/>
  <c r="I2585" i="1"/>
  <c r="I2589" i="1"/>
  <c r="I2588" i="1"/>
  <c r="I2894" i="1"/>
  <c r="I2896" i="1"/>
  <c r="I2977" i="1"/>
  <c r="I2978" i="1"/>
  <c r="I2979" i="1"/>
  <c r="I2980" i="1"/>
  <c r="I3014" i="1"/>
  <c r="I3013" i="1"/>
  <c r="I3012" i="1"/>
  <c r="I3015" i="1"/>
  <c r="I3017" i="1"/>
  <c r="I3016" i="1"/>
  <c r="I3018" i="1"/>
  <c r="I3019" i="1"/>
  <c r="I3021" i="1"/>
  <c r="I3020" i="1"/>
  <c r="I3024" i="1"/>
  <c r="I3023" i="1"/>
  <c r="I3022" i="1"/>
  <c r="C3171" i="1"/>
  <c r="C3122" i="1"/>
  <c r="C3115" i="1"/>
  <c r="C3076" i="1"/>
  <c r="C3074" i="1"/>
  <c r="C2986" i="1"/>
  <c r="C2883" i="1"/>
  <c r="C2878" i="1"/>
  <c r="C2792" i="1"/>
  <c r="C2786" i="1"/>
  <c r="C2722" i="1"/>
  <c r="C2667" i="1"/>
  <c r="C2645" i="1"/>
  <c r="C2626" i="1"/>
  <c r="C2601" i="1"/>
  <c r="C2596" i="1"/>
  <c r="C2451" i="1"/>
  <c r="C2446" i="1"/>
  <c r="C2437" i="1"/>
  <c r="C2387" i="1"/>
  <c r="C2384" i="1"/>
  <c r="C2378" i="1"/>
  <c r="C2365" i="1"/>
  <c r="C2339" i="1"/>
  <c r="C2131" i="1"/>
  <c r="C2125" i="1"/>
  <c r="C2070" i="1"/>
  <c r="C1952" i="1"/>
  <c r="C1686" i="1"/>
  <c r="C1681" i="1"/>
  <c r="C1676" i="1"/>
  <c r="C1674" i="1"/>
  <c r="C1618" i="1"/>
  <c r="C1615" i="1"/>
  <c r="C1609" i="1"/>
  <c r="C1492" i="1"/>
  <c r="C1459" i="1"/>
  <c r="C1431" i="1"/>
  <c r="C1408" i="1"/>
  <c r="C1405" i="1"/>
  <c r="C1403" i="1"/>
  <c r="C1307" i="1"/>
  <c r="C1280" i="1"/>
  <c r="C1197" i="1"/>
  <c r="C1165" i="1"/>
  <c r="C1114" i="1"/>
  <c r="C1029" i="1"/>
  <c r="C920" i="1"/>
  <c r="C916" i="1"/>
  <c r="C909" i="1"/>
  <c r="C787" i="1"/>
  <c r="C775" i="1"/>
  <c r="C730" i="1"/>
  <c r="C559" i="1"/>
  <c r="C551" i="1"/>
  <c r="C372" i="1"/>
  <c r="C350" i="1"/>
  <c r="C344" i="1"/>
  <c r="C339" i="1"/>
  <c r="C165" i="1"/>
  <c r="C32" i="1"/>
  <c r="C3119" i="1"/>
  <c r="C2957" i="1"/>
  <c r="C2887" i="1"/>
  <c r="C2475" i="1"/>
  <c r="C2471" i="1"/>
  <c r="C2121" i="1"/>
  <c r="C2120" i="1"/>
  <c r="C1827" i="1"/>
  <c r="C1754" i="1"/>
  <c r="C1389" i="1"/>
  <c r="C1188" i="1"/>
  <c r="C1186" i="1"/>
  <c r="C171" i="1"/>
  <c r="C3187" i="1"/>
  <c r="C3180" i="1"/>
  <c r="C3179" i="1"/>
  <c r="C3178" i="1"/>
  <c r="C3174" i="1"/>
  <c r="C3172" i="1"/>
  <c r="C3152" i="1"/>
  <c r="C3137" i="1"/>
  <c r="C3129" i="1"/>
  <c r="C3127" i="1"/>
  <c r="C3116" i="1"/>
  <c r="C3114" i="1"/>
  <c r="C3111" i="1"/>
  <c r="C3109" i="1"/>
  <c r="C3108" i="1"/>
  <c r="C3107" i="1"/>
  <c r="C3106" i="1"/>
  <c r="C3099" i="1"/>
  <c r="C3090" i="1"/>
  <c r="C3087" i="1"/>
  <c r="C3085" i="1"/>
  <c r="C3082" i="1"/>
  <c r="C3079" i="1"/>
  <c r="C3078" i="1"/>
  <c r="C3075" i="1"/>
  <c r="C3072" i="1"/>
  <c r="C3070" i="1"/>
  <c r="C3060" i="1"/>
  <c r="C3058" i="1"/>
  <c r="C3054" i="1"/>
  <c r="C3051" i="1"/>
  <c r="C3047" i="1"/>
  <c r="C3042" i="1"/>
  <c r="C3040" i="1"/>
  <c r="C3028" i="1"/>
  <c r="C3027" i="1"/>
  <c r="C3026" i="1"/>
  <c r="C2999" i="1"/>
  <c r="C2998" i="1"/>
  <c r="C2996" i="1"/>
  <c r="C2988" i="1"/>
  <c r="C2973" i="1"/>
  <c r="C2971" i="1"/>
  <c r="C2951" i="1"/>
  <c r="C2941" i="1"/>
  <c r="C2934" i="1"/>
  <c r="C2933" i="1"/>
  <c r="C2930" i="1"/>
  <c r="C2917" i="1"/>
  <c r="C2915" i="1"/>
  <c r="C2907" i="1"/>
  <c r="C2860" i="1"/>
  <c r="C2856" i="1"/>
  <c r="C2854" i="1"/>
  <c r="C2846" i="1"/>
  <c r="C2837" i="1"/>
  <c r="C2836" i="1"/>
  <c r="C2825" i="1"/>
  <c r="C2821" i="1"/>
  <c r="C2819" i="1"/>
  <c r="C2814" i="1"/>
  <c r="C2808" i="1"/>
  <c r="C2775" i="1"/>
  <c r="C2760" i="1"/>
  <c r="C2750" i="1"/>
  <c r="C2748" i="1"/>
  <c r="C2724" i="1"/>
  <c r="C2713" i="1"/>
  <c r="C2698" i="1"/>
  <c r="C2694" i="1"/>
  <c r="C2691" i="1"/>
  <c r="C2687" i="1"/>
  <c r="C2684" i="1"/>
  <c r="C2682" i="1"/>
  <c r="C2677" i="1"/>
  <c r="C2675" i="1"/>
  <c r="C2672" i="1"/>
  <c r="C2665" i="1"/>
  <c r="C2656" i="1"/>
  <c r="C2615" i="1"/>
  <c r="C2600" i="1"/>
  <c r="C2577" i="1"/>
  <c r="C2545" i="1"/>
  <c r="C2539" i="1"/>
  <c r="C2533" i="1"/>
  <c r="C2499" i="1"/>
  <c r="C2469" i="1"/>
  <c r="C2468" i="1"/>
  <c r="C2459" i="1"/>
  <c r="C2448" i="1"/>
  <c r="C2441" i="1"/>
  <c r="C2440" i="1"/>
  <c r="C2426" i="1"/>
  <c r="C2422" i="1"/>
  <c r="C2418" i="1"/>
  <c r="C2415" i="1"/>
  <c r="C2411" i="1"/>
  <c r="C2409" i="1"/>
  <c r="C2376" i="1"/>
  <c r="C2355" i="1"/>
  <c r="C2343" i="1"/>
  <c r="C2336" i="1"/>
  <c r="C2322" i="1"/>
  <c r="C2310" i="1"/>
  <c r="C2290" i="1"/>
  <c r="C2267" i="1"/>
  <c r="C2264" i="1"/>
  <c r="C2259" i="1"/>
  <c r="C2211" i="1"/>
  <c r="C2207" i="1"/>
  <c r="C2188" i="1"/>
  <c r="C2172" i="1"/>
  <c r="C2116" i="1"/>
  <c r="C2111" i="1"/>
  <c r="C2093" i="1"/>
  <c r="C2092" i="1"/>
  <c r="C2062" i="1"/>
  <c r="C2056" i="1"/>
  <c r="C2055" i="1"/>
  <c r="C2054" i="1"/>
  <c r="C2049" i="1"/>
  <c r="C2046" i="1"/>
  <c r="C2033" i="1"/>
  <c r="C2002" i="1"/>
  <c r="C2001" i="1"/>
  <c r="C1986" i="1"/>
  <c r="C1958" i="1"/>
  <c r="C1949" i="1"/>
  <c r="C1946" i="1"/>
  <c r="C1938" i="1"/>
  <c r="C1922" i="1"/>
  <c r="C1915" i="1"/>
  <c r="C1905" i="1"/>
  <c r="C1894" i="1"/>
  <c r="C1884" i="1"/>
  <c r="C1854" i="1"/>
  <c r="C1851" i="1"/>
  <c r="C1849" i="1"/>
  <c r="C1843" i="1"/>
  <c r="C1823" i="1"/>
  <c r="C1815" i="1"/>
  <c r="C1812" i="1"/>
  <c r="C1803" i="1"/>
  <c r="C1798" i="1"/>
  <c r="C1797" i="1"/>
  <c r="C1789" i="1"/>
  <c r="C1784" i="1"/>
  <c r="C1779" i="1"/>
  <c r="C1745" i="1"/>
  <c r="C1716" i="1"/>
  <c r="C1714" i="1"/>
  <c r="C1694" i="1"/>
  <c r="C1685" i="1"/>
  <c r="C1679" i="1"/>
  <c r="C1651" i="1"/>
  <c r="C1647" i="1"/>
  <c r="C1646" i="1"/>
  <c r="C1643" i="1"/>
  <c r="C1641" i="1"/>
  <c r="C1640" i="1"/>
  <c r="C1639" i="1"/>
  <c r="C1630" i="1"/>
  <c r="C1616" i="1"/>
  <c r="C1581" i="1"/>
  <c r="C1578" i="1"/>
  <c r="C1577" i="1"/>
  <c r="C1576" i="1"/>
  <c r="C1547" i="1"/>
  <c r="C1543" i="1"/>
  <c r="C1537" i="1"/>
  <c r="C1534" i="1"/>
  <c r="C1531" i="1"/>
  <c r="C1528" i="1"/>
  <c r="C1526" i="1"/>
  <c r="C1518" i="1"/>
  <c r="C1514" i="1"/>
  <c r="C1513" i="1"/>
  <c r="C1507" i="1"/>
  <c r="C1480" i="1"/>
  <c r="C1479" i="1"/>
  <c r="C1477" i="1"/>
  <c r="C1475" i="1"/>
  <c r="C1469" i="1"/>
  <c r="C1457" i="1"/>
  <c r="C1456" i="1"/>
  <c r="C1454" i="1"/>
  <c r="C1453" i="1"/>
  <c r="C1452" i="1"/>
  <c r="C1451" i="1"/>
  <c r="C1448" i="1"/>
  <c r="C1447" i="1"/>
  <c r="C1446" i="1"/>
  <c r="C1429" i="1"/>
  <c r="C1428" i="1"/>
  <c r="C1422" i="1"/>
  <c r="C1420" i="1"/>
  <c r="C1419" i="1"/>
  <c r="C1418" i="1"/>
  <c r="C1412" i="1"/>
  <c r="C1409" i="1"/>
  <c r="C1406" i="1"/>
  <c r="C1396" i="1"/>
  <c r="C1390" i="1"/>
  <c r="C1388" i="1"/>
  <c r="C1386" i="1"/>
  <c r="C1382" i="1"/>
  <c r="C1377" i="1"/>
  <c r="C1376" i="1"/>
  <c r="C1371" i="1"/>
  <c r="C1348" i="1"/>
  <c r="C1343" i="1"/>
  <c r="C1342" i="1"/>
  <c r="C1337" i="1"/>
  <c r="C1334" i="1"/>
  <c r="C1315" i="1"/>
  <c r="C1312" i="1"/>
  <c r="C1311" i="1"/>
  <c r="C1310" i="1"/>
  <c r="C1304" i="1"/>
  <c r="C1299" i="1"/>
  <c r="C1288" i="1"/>
  <c r="C1253" i="1"/>
  <c r="C1252" i="1"/>
  <c r="C1251" i="1"/>
  <c r="C1242" i="1"/>
  <c r="C1240" i="1"/>
  <c r="C1236" i="1"/>
  <c r="C1230" i="1"/>
  <c r="C1224" i="1"/>
  <c r="C1210" i="1"/>
  <c r="C1209" i="1"/>
  <c r="C1205" i="1"/>
  <c r="C1200" i="1"/>
  <c r="C1199" i="1"/>
  <c r="C1198" i="1"/>
  <c r="C1185" i="1"/>
  <c r="C1164" i="1"/>
  <c r="C1163" i="1"/>
  <c r="C1162" i="1"/>
  <c r="C1161" i="1"/>
  <c r="C1132" i="1"/>
  <c r="C1129" i="1"/>
  <c r="C1121" i="1"/>
  <c r="C1120" i="1"/>
  <c r="C1119" i="1"/>
  <c r="C1116" i="1"/>
  <c r="C1102" i="1"/>
  <c r="C1082" i="1"/>
  <c r="C1081" i="1"/>
  <c r="C1069" i="1"/>
  <c r="C1064" i="1"/>
  <c r="C1063" i="1"/>
  <c r="C1049" i="1"/>
  <c r="C1035" i="1"/>
  <c r="C1028" i="1"/>
  <c r="C1025" i="1"/>
  <c r="C1024" i="1"/>
  <c r="C1023" i="1"/>
  <c r="C1021" i="1"/>
  <c r="C1002" i="1"/>
  <c r="C1000" i="1"/>
  <c r="C978" i="1"/>
  <c r="C962" i="1"/>
  <c r="C956" i="1"/>
  <c r="C955" i="1"/>
  <c r="C952" i="1"/>
  <c r="C951" i="1"/>
  <c r="C944" i="1"/>
  <c r="C934" i="1"/>
  <c r="C932" i="1"/>
  <c r="C931" i="1"/>
  <c r="C929" i="1"/>
  <c r="C924" i="1"/>
  <c r="C919" i="1"/>
  <c r="C911" i="1"/>
  <c r="C908" i="1"/>
  <c r="C899" i="1"/>
  <c r="C898" i="1"/>
  <c r="C892" i="1"/>
  <c r="C887" i="1"/>
  <c r="C886" i="1"/>
  <c r="C881" i="1"/>
  <c r="C853" i="1"/>
  <c r="C847" i="1"/>
  <c r="C845" i="1"/>
  <c r="C836" i="1"/>
  <c r="C834" i="1"/>
  <c r="C803" i="1"/>
  <c r="C791" i="1"/>
  <c r="C759" i="1"/>
  <c r="C754" i="1"/>
  <c r="C691" i="1"/>
  <c r="C681" i="1"/>
  <c r="C655" i="1"/>
  <c r="C651" i="1"/>
  <c r="C649" i="1"/>
  <c r="C636" i="1"/>
  <c r="C615" i="1"/>
  <c r="C614" i="1"/>
  <c r="C611" i="1"/>
  <c r="C605" i="1"/>
  <c r="C597" i="1"/>
  <c r="C593" i="1"/>
  <c r="C581" i="1"/>
  <c r="C578" i="1"/>
  <c r="C575" i="1"/>
  <c r="C566" i="1"/>
  <c r="C565" i="1"/>
  <c r="C555" i="1"/>
  <c r="C553" i="1"/>
  <c r="C550" i="1"/>
  <c r="C545" i="1"/>
  <c r="C540" i="1"/>
  <c r="C506" i="1"/>
  <c r="C498" i="1"/>
  <c r="C496" i="1"/>
  <c r="C495" i="1"/>
  <c r="C493" i="1"/>
  <c r="C491" i="1"/>
  <c r="C489" i="1"/>
  <c r="C478" i="1"/>
  <c r="C473" i="1"/>
  <c r="C471" i="1"/>
  <c r="C455" i="1"/>
  <c r="C445" i="1"/>
  <c r="C444" i="1"/>
  <c r="C443" i="1"/>
  <c r="C440" i="1"/>
  <c r="C439" i="1"/>
  <c r="C433" i="1"/>
  <c r="C431" i="1"/>
  <c r="C411" i="1"/>
  <c r="C408" i="1"/>
  <c r="C402" i="1"/>
  <c r="C401" i="1"/>
  <c r="C398" i="1"/>
  <c r="C393" i="1"/>
  <c r="C382" i="1"/>
  <c r="C371" i="1"/>
  <c r="C367" i="1"/>
  <c r="C357" i="1"/>
  <c r="C336" i="1"/>
  <c r="C334" i="1"/>
  <c r="C329" i="1"/>
  <c r="C312" i="1"/>
  <c r="C281" i="1"/>
  <c r="C253" i="1"/>
  <c r="C209" i="1"/>
  <c r="C207" i="1"/>
  <c r="C193" i="1"/>
  <c r="C181" i="1"/>
  <c r="C179" i="1"/>
  <c r="C178" i="1"/>
  <c r="C176" i="1"/>
  <c r="C173" i="1"/>
  <c r="C106" i="1"/>
  <c r="C103" i="1"/>
  <c r="C100" i="1"/>
  <c r="C99" i="1"/>
  <c r="C96" i="1"/>
  <c r="C2903" i="1"/>
  <c r="C2897" i="1"/>
  <c r="C2727" i="1"/>
  <c r="C2725" i="1"/>
  <c r="C2701" i="1"/>
  <c r="C2037" i="1"/>
  <c r="C1908" i="1"/>
  <c r="C1907" i="1"/>
  <c r="C1282" i="1"/>
  <c r="C1118" i="1"/>
  <c r="C239" i="1"/>
  <c r="C3169" i="1"/>
  <c r="C3166" i="1"/>
  <c r="C3113" i="1"/>
  <c r="C3073" i="1"/>
  <c r="C2983" i="1"/>
  <c r="C2881" i="1"/>
  <c r="C2872" i="1"/>
  <c r="C2790" i="1"/>
  <c r="C2783" i="1"/>
  <c r="C2664" i="1"/>
  <c r="C2647" i="1"/>
  <c r="C2644" i="1"/>
  <c r="C2593" i="1"/>
  <c r="C2447" i="1"/>
  <c r="C2445" i="1"/>
  <c r="C2385" i="1"/>
  <c r="C2381" i="1"/>
  <c r="C2369" i="1"/>
  <c r="C2361" i="1"/>
  <c r="C2350" i="1"/>
  <c r="C2347" i="1"/>
  <c r="C2273" i="1"/>
  <c r="C2126" i="1"/>
  <c r="C2032" i="1"/>
  <c r="C1950" i="1"/>
  <c r="C1947" i="1"/>
  <c r="C1936" i="1"/>
  <c r="C1890" i="1"/>
  <c r="C1678" i="1"/>
  <c r="C1669" i="1"/>
  <c r="C1617" i="1"/>
  <c r="C1613" i="1"/>
  <c r="C1611" i="1"/>
  <c r="C1552" i="1"/>
  <c r="C1482" i="1"/>
  <c r="C1450" i="1"/>
  <c r="C1430" i="1"/>
  <c r="C1427" i="1"/>
  <c r="C1415" i="1"/>
  <c r="C1414" i="1"/>
  <c r="C1399" i="1"/>
  <c r="C1395" i="1"/>
  <c r="C1391" i="1"/>
  <c r="C1335" i="1"/>
  <c r="C1217" i="1"/>
  <c r="C1189" i="1"/>
  <c r="C1182" i="1"/>
  <c r="C1178" i="1"/>
  <c r="C1155" i="1"/>
  <c r="C1149" i="1"/>
  <c r="C1117" i="1"/>
  <c r="C1112" i="1"/>
  <c r="C1027" i="1"/>
  <c r="C925" i="1"/>
  <c r="C912" i="1"/>
  <c r="C910" i="1"/>
  <c r="C874" i="1"/>
  <c r="C786" i="1"/>
  <c r="C771" i="1"/>
  <c r="C723" i="1"/>
  <c r="C601" i="1"/>
  <c r="C582" i="1"/>
  <c r="C568" i="1"/>
  <c r="C418" i="1"/>
  <c r="C349" i="1"/>
  <c r="C338" i="1"/>
  <c r="C257" i="1"/>
  <c r="C169" i="1"/>
  <c r="C2985" i="1"/>
  <c r="C2569" i="1"/>
  <c r="C1557" i="1"/>
  <c r="C1517" i="1"/>
  <c r="C1416" i="1"/>
  <c r="C1008" i="1"/>
  <c r="C520" i="1"/>
  <c r="C406" i="1"/>
  <c r="C403" i="1"/>
  <c r="C392" i="1"/>
  <c r="J3165" i="1"/>
  <c r="C3189" i="1"/>
  <c r="C3188" i="1" l="1"/>
  <c r="C3186" i="1"/>
  <c r="C3185" i="1"/>
  <c r="C3184" i="1"/>
  <c r="C3183" i="1"/>
  <c r="C3182" i="1"/>
  <c r="C3181" i="1"/>
  <c r="A3189" i="1"/>
  <c r="D3189" i="1"/>
  <c r="E3189" i="1"/>
  <c r="F3189" i="1"/>
  <c r="G3189" i="1"/>
  <c r="J3189" i="1"/>
  <c r="A3188" i="1"/>
  <c r="D3188" i="1"/>
  <c r="F3188" i="1"/>
  <c r="G3188" i="1"/>
  <c r="J3188" i="1"/>
  <c r="A3187" i="1"/>
  <c r="D3187" i="1"/>
  <c r="F3187" i="1"/>
  <c r="G3187" i="1"/>
  <c r="J3187" i="1"/>
  <c r="A3186" i="1"/>
  <c r="D3186" i="1"/>
  <c r="E3186" i="1"/>
  <c r="F3186" i="1"/>
  <c r="G3186" i="1"/>
  <c r="J3186" i="1"/>
  <c r="A3185" i="1"/>
  <c r="D3185" i="1"/>
  <c r="E3185" i="1"/>
  <c r="F3185" i="1"/>
  <c r="G3185" i="1"/>
  <c r="J3185" i="1"/>
  <c r="A3184" i="1"/>
  <c r="D3184" i="1"/>
  <c r="E3184" i="1"/>
  <c r="F3184" i="1"/>
  <c r="G3184" i="1"/>
  <c r="J3184" i="1"/>
  <c r="A3183" i="1"/>
  <c r="D3183" i="1"/>
  <c r="E3183" i="1"/>
  <c r="F3183" i="1"/>
  <c r="G3183" i="1"/>
  <c r="J3183" i="1"/>
  <c r="A3182" i="1"/>
  <c r="D3182" i="1"/>
  <c r="F3182" i="1"/>
  <c r="G3182" i="1"/>
  <c r="J3182" i="1"/>
  <c r="A3181" i="1"/>
  <c r="D3181" i="1"/>
  <c r="F3181" i="1"/>
  <c r="G3181" i="1"/>
  <c r="J3181" i="1"/>
  <c r="A3180" i="1"/>
  <c r="D3180" i="1"/>
  <c r="F3180" i="1"/>
  <c r="G3180" i="1"/>
  <c r="J3180" i="1"/>
  <c r="A3179" i="1"/>
  <c r="D3179" i="1"/>
  <c r="F3179" i="1"/>
  <c r="G3179" i="1"/>
  <c r="J3179" i="1"/>
  <c r="A3178" i="1"/>
  <c r="D3178" i="1"/>
  <c r="F3178" i="1"/>
  <c r="G3178" i="1"/>
  <c r="J3178" i="1"/>
  <c r="A3177" i="1"/>
  <c r="C3177" i="1"/>
  <c r="D3177" i="1"/>
  <c r="F3177" i="1"/>
  <c r="G3177" i="1"/>
  <c r="J3177" i="1"/>
  <c r="A3176" i="1"/>
  <c r="C3176" i="1"/>
  <c r="D3176" i="1"/>
  <c r="E3176" i="1"/>
  <c r="F3176" i="1"/>
  <c r="G3176" i="1"/>
  <c r="J3176" i="1"/>
  <c r="A3175" i="1"/>
  <c r="C3175" i="1"/>
  <c r="D3175" i="1"/>
  <c r="F3175" i="1"/>
  <c r="G3175" i="1"/>
  <c r="J3175" i="1"/>
  <c r="A3174" i="1"/>
  <c r="D3174" i="1"/>
  <c r="F3174" i="1"/>
  <c r="G3174" i="1"/>
  <c r="J3174" i="1"/>
  <c r="A3172" i="1"/>
  <c r="D3172" i="1"/>
  <c r="F3172" i="1"/>
  <c r="G3172" i="1"/>
  <c r="J3172" i="1"/>
  <c r="A3173" i="1"/>
  <c r="C3173" i="1"/>
  <c r="D3173" i="1"/>
  <c r="F3173" i="1"/>
  <c r="G3173" i="1"/>
  <c r="J3173" i="1"/>
  <c r="A3171" i="1"/>
  <c r="D3171" i="1"/>
  <c r="E3171" i="1"/>
  <c r="F3171" i="1"/>
  <c r="G3171" i="1"/>
  <c r="J3171" i="1"/>
  <c r="A3170" i="1"/>
  <c r="C3170" i="1"/>
  <c r="D3170" i="1"/>
  <c r="E3170" i="1"/>
  <c r="F3170" i="1"/>
  <c r="G3170" i="1"/>
  <c r="J3170" i="1"/>
  <c r="A3169" i="1"/>
  <c r="E3169" i="1"/>
  <c r="F3169" i="1"/>
  <c r="G3169" i="1"/>
  <c r="J3169" i="1"/>
  <c r="A3168" i="1"/>
  <c r="C3168" i="1"/>
  <c r="D3168" i="1"/>
  <c r="E3168" i="1"/>
  <c r="F3168" i="1"/>
  <c r="G3168" i="1"/>
  <c r="J3168" i="1"/>
  <c r="A3167" i="1"/>
  <c r="C3167" i="1"/>
  <c r="D3167" i="1"/>
  <c r="E3167" i="1"/>
  <c r="F3167" i="1"/>
  <c r="G3167" i="1"/>
  <c r="J3167" i="1"/>
  <c r="C3165" i="1"/>
  <c r="D3165" i="1"/>
  <c r="F3165" i="1"/>
  <c r="G3165" i="1"/>
  <c r="A3166" i="1"/>
  <c r="E3166" i="1"/>
  <c r="F3166" i="1"/>
  <c r="G3166" i="1"/>
  <c r="J3166" i="1"/>
  <c r="A3164" i="1"/>
  <c r="C3164" i="1"/>
  <c r="D3164" i="1"/>
  <c r="F3164" i="1"/>
  <c r="G3164" i="1"/>
  <c r="J3164" i="1"/>
  <c r="A3163" i="1"/>
  <c r="C3163" i="1"/>
  <c r="D3163" i="1"/>
  <c r="F3163" i="1"/>
  <c r="G3163" i="1"/>
  <c r="J3163" i="1"/>
  <c r="A3162" i="1"/>
  <c r="C3162" i="1"/>
  <c r="D3162" i="1"/>
  <c r="F3162" i="1"/>
  <c r="G3162" i="1"/>
  <c r="J3162" i="1"/>
  <c r="A3160" i="1"/>
  <c r="C3160" i="1"/>
  <c r="D3160" i="1"/>
  <c r="F3160" i="1"/>
  <c r="G3160" i="1"/>
  <c r="J3160" i="1"/>
  <c r="A3161" i="1"/>
  <c r="C3161" i="1"/>
  <c r="D3161" i="1"/>
  <c r="F3161" i="1"/>
  <c r="G3161" i="1"/>
  <c r="H3161" i="1"/>
  <c r="J3161" i="1"/>
  <c r="A3159" i="1"/>
  <c r="C3159" i="1"/>
  <c r="D3159" i="1"/>
  <c r="F3159" i="1"/>
  <c r="G3159" i="1"/>
  <c r="J3159" i="1"/>
  <c r="A3158" i="1"/>
  <c r="C3158" i="1"/>
  <c r="D3158" i="1"/>
  <c r="F3158" i="1"/>
  <c r="G3158" i="1"/>
  <c r="J3158" i="1"/>
  <c r="L3158" i="1"/>
  <c r="A3157" i="1"/>
  <c r="C3157" i="1"/>
  <c r="E3157" i="1"/>
  <c r="F3157" i="1"/>
  <c r="G3157" i="1"/>
  <c r="J3157" i="1"/>
  <c r="A3156" i="1"/>
  <c r="C3156" i="1"/>
  <c r="D3156" i="1"/>
  <c r="F3156" i="1"/>
  <c r="G3156" i="1"/>
  <c r="J3156" i="1"/>
  <c r="A3155" i="1"/>
  <c r="C3155" i="1"/>
  <c r="D3155" i="1"/>
  <c r="E3155" i="1"/>
  <c r="F3155" i="1"/>
  <c r="G3155" i="1"/>
  <c r="J3155" i="1"/>
  <c r="A3152" i="1"/>
  <c r="D3152" i="1"/>
  <c r="F3152" i="1"/>
  <c r="G3152" i="1"/>
  <c r="J3152" i="1"/>
  <c r="A3154" i="1"/>
  <c r="C3154" i="1"/>
  <c r="D3154" i="1"/>
  <c r="E3154" i="1"/>
  <c r="F3154" i="1"/>
  <c r="G3154" i="1"/>
  <c r="J3154" i="1"/>
  <c r="A3153" i="1"/>
  <c r="C3153" i="1"/>
  <c r="D3153" i="1"/>
  <c r="F3153" i="1"/>
  <c r="G3153" i="1"/>
  <c r="J3153" i="1"/>
  <c r="A3151" i="1"/>
  <c r="C3151" i="1"/>
  <c r="D3151" i="1"/>
  <c r="E3151" i="1"/>
  <c r="F3151" i="1"/>
  <c r="G3151" i="1"/>
  <c r="J3151" i="1"/>
  <c r="A3150" i="1"/>
  <c r="C3150" i="1"/>
  <c r="D3150" i="1"/>
  <c r="F3150" i="1"/>
  <c r="G3150" i="1"/>
  <c r="J3150" i="1"/>
  <c r="A3149" i="1"/>
  <c r="C3149" i="1"/>
  <c r="D3149" i="1"/>
  <c r="F3149" i="1"/>
  <c r="G3149" i="1"/>
  <c r="J3149" i="1"/>
  <c r="A3148" i="1"/>
  <c r="C3148" i="1"/>
  <c r="D3148" i="1"/>
  <c r="F3148" i="1"/>
  <c r="G3148" i="1"/>
  <c r="J3148" i="1"/>
  <c r="A3147" i="1"/>
  <c r="C3147" i="1"/>
  <c r="D3147" i="1"/>
  <c r="F3147" i="1"/>
  <c r="G3147" i="1"/>
  <c r="J3147" i="1"/>
  <c r="L3147" i="1"/>
  <c r="A3146" i="1"/>
  <c r="C3146" i="1"/>
  <c r="D3146" i="1"/>
  <c r="F3146" i="1"/>
  <c r="G3146" i="1"/>
  <c r="J3146" i="1"/>
  <c r="A3145" i="1"/>
  <c r="C3145" i="1"/>
  <c r="D3145" i="1"/>
  <c r="F3145" i="1"/>
  <c r="G3145" i="1"/>
  <c r="J3145" i="1"/>
  <c r="L3145" i="1"/>
  <c r="A3144" i="1"/>
  <c r="C3144" i="1"/>
  <c r="D3144" i="1"/>
  <c r="F3144" i="1"/>
  <c r="G3144" i="1"/>
  <c r="J3144" i="1"/>
  <c r="A3143" i="1"/>
  <c r="C3143" i="1"/>
  <c r="D3143" i="1"/>
  <c r="F3143" i="1"/>
  <c r="G3143" i="1"/>
  <c r="J3143" i="1"/>
  <c r="A3142" i="1"/>
  <c r="C3142" i="1"/>
  <c r="D3142" i="1"/>
  <c r="F3142" i="1"/>
  <c r="G3142" i="1"/>
  <c r="J3142" i="1"/>
  <c r="A3140" i="1"/>
  <c r="C3140" i="1"/>
  <c r="D3140" i="1"/>
  <c r="F3140" i="1"/>
  <c r="G3140" i="1"/>
  <c r="J3140" i="1"/>
  <c r="A3141" i="1"/>
  <c r="C3141" i="1"/>
  <c r="D3141" i="1"/>
  <c r="F3141" i="1"/>
  <c r="G3141" i="1"/>
  <c r="J3141" i="1"/>
  <c r="A3139" i="1"/>
  <c r="C3139" i="1"/>
  <c r="D3139" i="1"/>
  <c r="F3139" i="1"/>
  <c r="G3139" i="1"/>
  <c r="J3139" i="1"/>
  <c r="A3138" i="1"/>
  <c r="C3138" i="1"/>
  <c r="D3138" i="1"/>
  <c r="F3138" i="1"/>
  <c r="G3138" i="1"/>
  <c r="J3138" i="1"/>
  <c r="A3137" i="1"/>
  <c r="D3137" i="1"/>
  <c r="F3137" i="1"/>
  <c r="G3137" i="1"/>
  <c r="J3137" i="1"/>
  <c r="A3136" i="1"/>
  <c r="C3136" i="1"/>
  <c r="D3136" i="1"/>
  <c r="E3136" i="1"/>
  <c r="F3136" i="1"/>
  <c r="G3136" i="1"/>
  <c r="J3136" i="1"/>
  <c r="A3135" i="1"/>
  <c r="C3135" i="1"/>
  <c r="D3135" i="1"/>
  <c r="F3135" i="1"/>
  <c r="G3135" i="1"/>
  <c r="J3135" i="1"/>
  <c r="A3134" i="1"/>
  <c r="C3134" i="1"/>
  <c r="D3134" i="1"/>
  <c r="F3134" i="1"/>
  <c r="G3134" i="1"/>
  <c r="J3134" i="1"/>
  <c r="A3133" i="1"/>
  <c r="C3133" i="1"/>
  <c r="D3133" i="1"/>
  <c r="F3133" i="1"/>
  <c r="G3133" i="1"/>
  <c r="J3133" i="1"/>
  <c r="L3133" i="1"/>
  <c r="A3132" i="1"/>
  <c r="C3132" i="1"/>
  <c r="D3132" i="1"/>
  <c r="F3132" i="1"/>
  <c r="G3132" i="1"/>
  <c r="J3132" i="1"/>
  <c r="A3131" i="1"/>
  <c r="C3131" i="1"/>
  <c r="D3131" i="1"/>
  <c r="F3131" i="1"/>
  <c r="G3131" i="1"/>
  <c r="J3131" i="1"/>
  <c r="L3131" i="1"/>
  <c r="A3130" i="1"/>
  <c r="C3130" i="1"/>
  <c r="D3130" i="1"/>
  <c r="F3130" i="1"/>
  <c r="G3130" i="1"/>
  <c r="J3130" i="1"/>
  <c r="A3129" i="1"/>
  <c r="D3129" i="1"/>
  <c r="F3129" i="1"/>
  <c r="G3129" i="1"/>
  <c r="J3129" i="1"/>
  <c r="A3127" i="1"/>
  <c r="D3127" i="1"/>
  <c r="F3127" i="1"/>
  <c r="G3127" i="1"/>
  <c r="J3127" i="1"/>
  <c r="A3126" i="1"/>
  <c r="C3126" i="1"/>
  <c r="D3126" i="1"/>
  <c r="F3126" i="1"/>
  <c r="G3126" i="1"/>
  <c r="J3126" i="1"/>
  <c r="A3128" i="1"/>
  <c r="C3128" i="1"/>
  <c r="D3128" i="1"/>
  <c r="F3128" i="1"/>
  <c r="G3128" i="1"/>
  <c r="J3128" i="1"/>
  <c r="L3128" i="1"/>
  <c r="A3124" i="1"/>
  <c r="C3124" i="1"/>
  <c r="D3124" i="1"/>
  <c r="F3124" i="1"/>
  <c r="G3124" i="1"/>
  <c r="J3124" i="1"/>
  <c r="L3124" i="1"/>
  <c r="A3125" i="1"/>
  <c r="C3125" i="1"/>
  <c r="D3125" i="1"/>
  <c r="F3125" i="1"/>
  <c r="G3125" i="1"/>
  <c r="J3125" i="1"/>
  <c r="A3122" i="1"/>
  <c r="D3122" i="1"/>
  <c r="E3122" i="1"/>
  <c r="F3122" i="1"/>
  <c r="G3122" i="1"/>
  <c r="J3122" i="1"/>
  <c r="A3123" i="1"/>
  <c r="C3123" i="1"/>
  <c r="D3123" i="1"/>
  <c r="F3123" i="1"/>
  <c r="G3123" i="1"/>
  <c r="J3123" i="1"/>
  <c r="A3121" i="1"/>
  <c r="C3121" i="1"/>
  <c r="D3121" i="1"/>
  <c r="F3121" i="1"/>
  <c r="G3121" i="1"/>
  <c r="J3121" i="1"/>
  <c r="L3121" i="1"/>
  <c r="A3120" i="1"/>
  <c r="C3120" i="1"/>
  <c r="D3120" i="1"/>
  <c r="E3120" i="1"/>
  <c r="F3120" i="1"/>
  <c r="G3120" i="1"/>
  <c r="J3120" i="1"/>
  <c r="A3119" i="1"/>
  <c r="D3119" i="1"/>
  <c r="E3119" i="1"/>
  <c r="F3119" i="1"/>
  <c r="G3119" i="1"/>
  <c r="J3119" i="1"/>
  <c r="A3118" i="1"/>
  <c r="C3118" i="1"/>
  <c r="D3118" i="1"/>
  <c r="F3118" i="1"/>
  <c r="G3118" i="1"/>
  <c r="J3118" i="1"/>
  <c r="L3118" i="1"/>
  <c r="A3117" i="1"/>
  <c r="C3117" i="1"/>
  <c r="D3117" i="1"/>
  <c r="F3117" i="1"/>
  <c r="G3117" i="1"/>
  <c r="J3117" i="1"/>
  <c r="L3117" i="1"/>
  <c r="A3116" i="1"/>
  <c r="D3116" i="1"/>
  <c r="F3116" i="1"/>
  <c r="G3116" i="1"/>
  <c r="J3116" i="1"/>
  <c r="A3115" i="1"/>
  <c r="D3115" i="1"/>
  <c r="E3115" i="1"/>
  <c r="F3115" i="1"/>
  <c r="G3115" i="1"/>
  <c r="J3115" i="1"/>
  <c r="A3114" i="1"/>
  <c r="D3114" i="1"/>
  <c r="F3114" i="1"/>
  <c r="G3114" i="1"/>
  <c r="J3114" i="1"/>
  <c r="A3113" i="1"/>
  <c r="E3113" i="1"/>
  <c r="F3113" i="1"/>
  <c r="J3113" i="1"/>
  <c r="A3112" i="1"/>
  <c r="C3112" i="1"/>
  <c r="D3112" i="1"/>
  <c r="F3112" i="1"/>
  <c r="G3112" i="1"/>
  <c r="J3112" i="1"/>
  <c r="A3111" i="1"/>
  <c r="D3111" i="1"/>
  <c r="F3111" i="1"/>
  <c r="G3111" i="1"/>
  <c r="J3111" i="1"/>
  <c r="A3110" i="1"/>
  <c r="C3110" i="1"/>
  <c r="D3110" i="1"/>
  <c r="F3110" i="1"/>
  <c r="G3110" i="1"/>
  <c r="J3110" i="1"/>
  <c r="A3109" i="1"/>
  <c r="D3109" i="1"/>
  <c r="F3109" i="1"/>
  <c r="G3109" i="1"/>
  <c r="J3109" i="1"/>
  <c r="A3108" i="1"/>
  <c r="D3108" i="1"/>
  <c r="F3108" i="1"/>
  <c r="G3108" i="1"/>
  <c r="J3108" i="1"/>
  <c r="A3107" i="1"/>
  <c r="D3107" i="1"/>
  <c r="F3107" i="1"/>
  <c r="G3107" i="1"/>
  <c r="J3107" i="1"/>
  <c r="A3106" i="1"/>
  <c r="D3106" i="1"/>
  <c r="F3106" i="1"/>
  <c r="G3106" i="1"/>
  <c r="J3106" i="1"/>
  <c r="A3105" i="1"/>
  <c r="C3105" i="1"/>
  <c r="D3105" i="1"/>
  <c r="F3105" i="1"/>
  <c r="G3105" i="1"/>
  <c r="J3105" i="1"/>
  <c r="A3104" i="1"/>
  <c r="C3104" i="1"/>
  <c r="D3104" i="1"/>
  <c r="F3104" i="1"/>
  <c r="G3104" i="1"/>
  <c r="J3104" i="1"/>
  <c r="A3103" i="1"/>
  <c r="C3103" i="1"/>
  <c r="D3103" i="1"/>
  <c r="F3103" i="1"/>
  <c r="G3103" i="1"/>
  <c r="J3103" i="1"/>
  <c r="A3102" i="1"/>
  <c r="C3102" i="1"/>
  <c r="D3102" i="1"/>
  <c r="F3102" i="1"/>
  <c r="G3102" i="1"/>
  <c r="J3102" i="1"/>
  <c r="A3100" i="1"/>
  <c r="C3100" i="1"/>
  <c r="D3100" i="1"/>
  <c r="F3100" i="1"/>
  <c r="G3100" i="1"/>
  <c r="J3100" i="1"/>
  <c r="A3101" i="1"/>
  <c r="C3101" i="1"/>
  <c r="D3101" i="1"/>
  <c r="F3101" i="1"/>
  <c r="G3101" i="1"/>
  <c r="J3101" i="1"/>
  <c r="L3101" i="1"/>
  <c r="A3099" i="1"/>
  <c r="D3099" i="1"/>
  <c r="F3099" i="1"/>
  <c r="G3099" i="1"/>
  <c r="J3099" i="1"/>
  <c r="A3098" i="1"/>
  <c r="C3098" i="1"/>
  <c r="D3098" i="1"/>
  <c r="F3098" i="1"/>
  <c r="G3098" i="1"/>
  <c r="J3098" i="1"/>
  <c r="A3097" i="1"/>
  <c r="C3097" i="1"/>
  <c r="D3097" i="1"/>
  <c r="F3097" i="1"/>
  <c r="G3097" i="1"/>
  <c r="J3097" i="1"/>
  <c r="A3096" i="1"/>
  <c r="C3096" i="1"/>
  <c r="D3096" i="1"/>
  <c r="E3096" i="1"/>
  <c r="F3096" i="1"/>
  <c r="G3096" i="1"/>
  <c r="J3096" i="1"/>
  <c r="A3095" i="1"/>
  <c r="C3095" i="1"/>
  <c r="D3095" i="1"/>
  <c r="F3095" i="1"/>
  <c r="G3095" i="1"/>
  <c r="J3095" i="1"/>
  <c r="A3094" i="1"/>
  <c r="C3094" i="1"/>
  <c r="D3094" i="1"/>
  <c r="F3094" i="1"/>
  <c r="G3094" i="1"/>
  <c r="J3094" i="1"/>
  <c r="A3093" i="1"/>
  <c r="C3093" i="1"/>
  <c r="D3093" i="1"/>
  <c r="F3093" i="1"/>
  <c r="G3093" i="1"/>
  <c r="J3093" i="1"/>
  <c r="A3092" i="1"/>
  <c r="C3092" i="1"/>
  <c r="D3092" i="1"/>
  <c r="F3092" i="1"/>
  <c r="G3092" i="1"/>
  <c r="J3092" i="1"/>
  <c r="A3090" i="1"/>
  <c r="D3090" i="1"/>
  <c r="F3090" i="1"/>
  <c r="G3090" i="1"/>
  <c r="J3090" i="1"/>
  <c r="A3091" i="1"/>
  <c r="C3091" i="1"/>
  <c r="D3091" i="1"/>
  <c r="E3091" i="1"/>
  <c r="F3091" i="1"/>
  <c r="G3091" i="1"/>
  <c r="J3091" i="1"/>
  <c r="A3089" i="1"/>
  <c r="C3089" i="1"/>
  <c r="D3089" i="1"/>
  <c r="F3089" i="1"/>
  <c r="G3089" i="1"/>
  <c r="J3089" i="1"/>
  <c r="A3088" i="1"/>
  <c r="C3088" i="1"/>
  <c r="D3088" i="1"/>
  <c r="E3088" i="1"/>
  <c r="F3088" i="1"/>
  <c r="G3088" i="1"/>
  <c r="J3088" i="1"/>
  <c r="A3087" i="1"/>
  <c r="D3087" i="1"/>
  <c r="F3087" i="1"/>
  <c r="G3087" i="1"/>
  <c r="J3087" i="1"/>
  <c r="A3086" i="1"/>
  <c r="C3086" i="1"/>
  <c r="D3086" i="1"/>
  <c r="F3086" i="1"/>
  <c r="G3086" i="1"/>
  <c r="J3086" i="1"/>
  <c r="A3085" i="1"/>
  <c r="D3085" i="1"/>
  <c r="F3085" i="1"/>
  <c r="G3085" i="1"/>
  <c r="J3085" i="1"/>
  <c r="A3084" i="1"/>
  <c r="C3084" i="1"/>
  <c r="D3084" i="1"/>
  <c r="F3084" i="1"/>
  <c r="G3084" i="1"/>
  <c r="J3084" i="1"/>
  <c r="L3084" i="1"/>
  <c r="A3083" i="1"/>
  <c r="C3083" i="1"/>
  <c r="D3083" i="1"/>
  <c r="F3083" i="1"/>
  <c r="G3083" i="1"/>
  <c r="H3083" i="1"/>
  <c r="J3083" i="1"/>
  <c r="A3082" i="1"/>
  <c r="D3082" i="1"/>
  <c r="F3082" i="1"/>
  <c r="G3082" i="1"/>
  <c r="J3082" i="1"/>
  <c r="A3081" i="1"/>
  <c r="C3081" i="1"/>
  <c r="D3081" i="1"/>
  <c r="F3081" i="1"/>
  <c r="G3081" i="1"/>
  <c r="H3081" i="1"/>
  <c r="I3081" i="1"/>
  <c r="J3081" i="1"/>
  <c r="A3080" i="1"/>
  <c r="C3080" i="1"/>
  <c r="F3080" i="1"/>
  <c r="G3080" i="1"/>
  <c r="H3080" i="1"/>
  <c r="I3080" i="1"/>
  <c r="J3080" i="1"/>
  <c r="L3080" i="1"/>
  <c r="A3079" i="1"/>
  <c r="D3079" i="1"/>
  <c r="F3079" i="1"/>
  <c r="G3079" i="1"/>
  <c r="J3079" i="1"/>
  <c r="A3078" i="1"/>
  <c r="D3078" i="1"/>
  <c r="F3078" i="1"/>
  <c r="G3078" i="1"/>
  <c r="J3078" i="1"/>
  <c r="A3077" i="1"/>
  <c r="C3077" i="1"/>
  <c r="D3077" i="1"/>
  <c r="F3077" i="1"/>
  <c r="G3077" i="1"/>
  <c r="J3077" i="1"/>
  <c r="A3076" i="1"/>
  <c r="D3076" i="1"/>
  <c r="E3076" i="1"/>
  <c r="F3076" i="1"/>
  <c r="G3076" i="1"/>
  <c r="J3076" i="1"/>
  <c r="A3075" i="1"/>
  <c r="D3075" i="1"/>
  <c r="F3075" i="1"/>
  <c r="G3075" i="1"/>
  <c r="J3075" i="1"/>
  <c r="A3074" i="1"/>
  <c r="D3074" i="1"/>
  <c r="E3074" i="1"/>
  <c r="F3074" i="1"/>
  <c r="G3074" i="1"/>
  <c r="J3074" i="1"/>
  <c r="A3073" i="1"/>
  <c r="E3073" i="1"/>
  <c r="F3073" i="1"/>
  <c r="G3073" i="1"/>
  <c r="J3073" i="1"/>
  <c r="A3072" i="1"/>
  <c r="D3072" i="1"/>
  <c r="F3072" i="1"/>
  <c r="G3072" i="1"/>
  <c r="J3072" i="1"/>
  <c r="A3071" i="1"/>
  <c r="C3071" i="1"/>
  <c r="D3071" i="1"/>
  <c r="F3071" i="1"/>
  <c r="G3071" i="1"/>
  <c r="J3071" i="1"/>
  <c r="A3070" i="1"/>
  <c r="D3070" i="1"/>
  <c r="F3070" i="1"/>
  <c r="G3070" i="1"/>
  <c r="J3070" i="1"/>
  <c r="A3069" i="1"/>
  <c r="C3069" i="1"/>
  <c r="D3069" i="1"/>
  <c r="E3069" i="1"/>
  <c r="F3069" i="1"/>
  <c r="G3069" i="1"/>
  <c r="J3069" i="1"/>
  <c r="A3068" i="1"/>
  <c r="C3068" i="1"/>
  <c r="D3068" i="1"/>
  <c r="F3068" i="1"/>
  <c r="G3068" i="1"/>
  <c r="J3068" i="1"/>
  <c r="A3067" i="1"/>
  <c r="C3067" i="1"/>
  <c r="D3067" i="1"/>
  <c r="F3067" i="1"/>
  <c r="G3067" i="1"/>
  <c r="J3067" i="1"/>
  <c r="A3066" i="1"/>
  <c r="C3066" i="1"/>
  <c r="D3066" i="1"/>
  <c r="F3066" i="1"/>
  <c r="G3066" i="1"/>
  <c r="J3066" i="1"/>
  <c r="A3065" i="1"/>
  <c r="C3065" i="1"/>
  <c r="D3065" i="1"/>
  <c r="E3065" i="1"/>
  <c r="F3065" i="1"/>
  <c r="G3065" i="1"/>
  <c r="J3065" i="1"/>
  <c r="A3064" i="1"/>
  <c r="C3064" i="1"/>
  <c r="D3064" i="1"/>
  <c r="F3064" i="1"/>
  <c r="G3064" i="1"/>
  <c r="J3064" i="1"/>
  <c r="A3063" i="1"/>
  <c r="C3063" i="1"/>
  <c r="D3063" i="1"/>
  <c r="E3063" i="1"/>
  <c r="F3063" i="1"/>
  <c r="G3063" i="1"/>
  <c r="J3063" i="1"/>
  <c r="A3062" i="1"/>
  <c r="C3062" i="1"/>
  <c r="D3062" i="1"/>
  <c r="E3062" i="1"/>
  <c r="F3062" i="1"/>
  <c r="G3062" i="1"/>
  <c r="J3062" i="1"/>
  <c r="A3061" i="1"/>
  <c r="C3061" i="1"/>
  <c r="D3061" i="1"/>
  <c r="F3061" i="1"/>
  <c r="G3061" i="1"/>
  <c r="J3061" i="1"/>
  <c r="A3060" i="1"/>
  <c r="D3060" i="1"/>
  <c r="F3060" i="1"/>
  <c r="G3060" i="1"/>
  <c r="J3060" i="1"/>
  <c r="A3059" i="1"/>
  <c r="C3059" i="1"/>
  <c r="D3059" i="1"/>
  <c r="F3059" i="1"/>
  <c r="G3059" i="1"/>
  <c r="J3059" i="1"/>
  <c r="A3058" i="1"/>
  <c r="D3058" i="1"/>
  <c r="F3058" i="1"/>
  <c r="G3058" i="1"/>
  <c r="J3058" i="1"/>
  <c r="A3056" i="1"/>
  <c r="C3056" i="1"/>
  <c r="D3056" i="1"/>
  <c r="F3056" i="1"/>
  <c r="G3056" i="1"/>
  <c r="J3056" i="1"/>
  <c r="A3055" i="1"/>
  <c r="C3055" i="1"/>
  <c r="D3055" i="1"/>
  <c r="F3055" i="1"/>
  <c r="G3055" i="1"/>
  <c r="J3055" i="1"/>
  <c r="A3057" i="1"/>
  <c r="C3057" i="1"/>
  <c r="D3057" i="1"/>
  <c r="F3057" i="1"/>
  <c r="G3057" i="1"/>
  <c r="J3057" i="1"/>
  <c r="A3054" i="1"/>
  <c r="D3054" i="1"/>
  <c r="F3054" i="1"/>
  <c r="G3054" i="1"/>
  <c r="J3054" i="1"/>
  <c r="A3053" i="1"/>
  <c r="C3053" i="1"/>
  <c r="D3053" i="1"/>
  <c r="F3053" i="1"/>
  <c r="G3053" i="1"/>
  <c r="J3053" i="1"/>
  <c r="A3051" i="1"/>
  <c r="D3051" i="1"/>
  <c r="F3051" i="1"/>
  <c r="G3051" i="1"/>
  <c r="J3051" i="1"/>
  <c r="A3052" i="1"/>
  <c r="C3052" i="1"/>
  <c r="D3052" i="1"/>
  <c r="E3052" i="1"/>
  <c r="F3052" i="1"/>
  <c r="G3052" i="1"/>
  <c r="J3052" i="1"/>
  <c r="A3049" i="1"/>
  <c r="C3049" i="1"/>
  <c r="D3049" i="1"/>
  <c r="F3049" i="1"/>
  <c r="G3049" i="1"/>
  <c r="J3049" i="1"/>
  <c r="A3050" i="1"/>
  <c r="C3050" i="1"/>
  <c r="D3050" i="1"/>
  <c r="F3050" i="1"/>
  <c r="G3050" i="1"/>
  <c r="J3050" i="1"/>
  <c r="A3048" i="1"/>
  <c r="C3048" i="1"/>
  <c r="D3048" i="1"/>
  <c r="F3048" i="1"/>
  <c r="G3048" i="1"/>
  <c r="J3048" i="1"/>
  <c r="A3047" i="1"/>
  <c r="D3047" i="1"/>
  <c r="F3047" i="1"/>
  <c r="G3047" i="1"/>
  <c r="J3047" i="1"/>
  <c r="A3046" i="1"/>
  <c r="C3046" i="1"/>
  <c r="E3046" i="1"/>
  <c r="F3046" i="1"/>
  <c r="G3046" i="1"/>
  <c r="J3046" i="1"/>
  <c r="A3045" i="1"/>
  <c r="C3045" i="1"/>
  <c r="D3045" i="1"/>
  <c r="F3045" i="1"/>
  <c r="G3045" i="1"/>
  <c r="J3045" i="1"/>
  <c r="A3043" i="1"/>
  <c r="C3043" i="1"/>
  <c r="D3043" i="1"/>
  <c r="F3043" i="1"/>
  <c r="G3043" i="1"/>
  <c r="J3043" i="1"/>
  <c r="A3044" i="1"/>
  <c r="C3044" i="1"/>
  <c r="D3044" i="1"/>
  <c r="F3044" i="1"/>
  <c r="G3044" i="1"/>
  <c r="J3044" i="1"/>
  <c r="A3042" i="1"/>
  <c r="D3042" i="1"/>
  <c r="F3042" i="1"/>
  <c r="G3042" i="1"/>
  <c r="J3042" i="1"/>
  <c r="A3041" i="1"/>
  <c r="C3041" i="1"/>
  <c r="D3041" i="1"/>
  <c r="F3041" i="1"/>
  <c r="G3041" i="1"/>
  <c r="J3041" i="1"/>
  <c r="A3040" i="1"/>
  <c r="D3040" i="1"/>
  <c r="F3040" i="1"/>
  <c r="G3040" i="1"/>
  <c r="J3040" i="1"/>
  <c r="A3039" i="1"/>
  <c r="C3039" i="1"/>
  <c r="D3039" i="1"/>
  <c r="E3039" i="1"/>
  <c r="F3039" i="1"/>
  <c r="G3039" i="1"/>
  <c r="J3039" i="1"/>
  <c r="A3038" i="1"/>
  <c r="C3038" i="1"/>
  <c r="D3038" i="1"/>
  <c r="E3038" i="1"/>
  <c r="F3038" i="1"/>
  <c r="G3038" i="1"/>
  <c r="J3038" i="1"/>
  <c r="A3037" i="1"/>
  <c r="C3037" i="1"/>
  <c r="D3037" i="1"/>
  <c r="E3037" i="1"/>
  <c r="F3037" i="1"/>
  <c r="G3037" i="1"/>
  <c r="J3037" i="1"/>
  <c r="A3036" i="1"/>
  <c r="C3036" i="1"/>
  <c r="D3036" i="1"/>
  <c r="F3036" i="1"/>
  <c r="G3036" i="1"/>
  <c r="J3036" i="1"/>
  <c r="A3034" i="1"/>
  <c r="C3034" i="1"/>
  <c r="D3034" i="1"/>
  <c r="F3034" i="1"/>
  <c r="G3034" i="1"/>
  <c r="J3034" i="1"/>
  <c r="A3035" i="1"/>
  <c r="C3035" i="1"/>
  <c r="D3035" i="1"/>
  <c r="F3035" i="1"/>
  <c r="G3035" i="1"/>
  <c r="J3035" i="1"/>
  <c r="A3033" i="1"/>
  <c r="C3033" i="1"/>
  <c r="D3033" i="1"/>
  <c r="F3033" i="1"/>
  <c r="G3033" i="1"/>
  <c r="J3033" i="1"/>
  <c r="A3032" i="1"/>
  <c r="C3032" i="1"/>
  <c r="D3032" i="1"/>
  <c r="F3032" i="1"/>
  <c r="G3032" i="1"/>
  <c r="H3032" i="1"/>
  <c r="J3032" i="1"/>
  <c r="A3031" i="1"/>
  <c r="C3031" i="1"/>
  <c r="D3031" i="1"/>
  <c r="F3031" i="1"/>
  <c r="G3031" i="1"/>
  <c r="J3031" i="1"/>
  <c r="A3030" i="1"/>
  <c r="C3030" i="1"/>
  <c r="D3030" i="1"/>
  <c r="F3030" i="1"/>
  <c r="G3030" i="1"/>
  <c r="J3030" i="1"/>
  <c r="A3029" i="1"/>
  <c r="C3029" i="1"/>
  <c r="D3029" i="1"/>
  <c r="F3029" i="1"/>
  <c r="G3029" i="1"/>
  <c r="J3029" i="1"/>
  <c r="A3028" i="1"/>
  <c r="D3028" i="1"/>
  <c r="F3028" i="1"/>
  <c r="G3028" i="1"/>
  <c r="J3028" i="1"/>
  <c r="A3027" i="1"/>
  <c r="D3027" i="1"/>
  <c r="F3027" i="1"/>
  <c r="G3027" i="1"/>
  <c r="J3027" i="1"/>
  <c r="A3026" i="1"/>
  <c r="D3026" i="1"/>
  <c r="F3026" i="1"/>
  <c r="G3026" i="1"/>
  <c r="J3026" i="1"/>
  <c r="A3025" i="1"/>
  <c r="C3025" i="1"/>
  <c r="D3025" i="1"/>
  <c r="F3025" i="1"/>
  <c r="G3025" i="1"/>
  <c r="J3025" i="1"/>
  <c r="A3024" i="1"/>
  <c r="C3024" i="1"/>
  <c r="D3024" i="1"/>
  <c r="F3024" i="1"/>
  <c r="G3024" i="1"/>
  <c r="H3024" i="1"/>
  <c r="J3024" i="1"/>
  <c r="A3023" i="1"/>
  <c r="C3023" i="1"/>
  <c r="D3023" i="1"/>
  <c r="F3023" i="1"/>
  <c r="G3023" i="1"/>
  <c r="H3023" i="1"/>
  <c r="J3023" i="1"/>
  <c r="A3022" i="1"/>
  <c r="C3022" i="1"/>
  <c r="D3022" i="1"/>
  <c r="F3022" i="1"/>
  <c r="G3022" i="1"/>
  <c r="H3022" i="1"/>
  <c r="J3022" i="1"/>
  <c r="A3021" i="1"/>
  <c r="C3021" i="1"/>
  <c r="D3021" i="1"/>
  <c r="F3021" i="1"/>
  <c r="G3021" i="1"/>
  <c r="H3021" i="1"/>
  <c r="J3021" i="1"/>
  <c r="A3020" i="1"/>
  <c r="C3020" i="1"/>
  <c r="D3020" i="1"/>
  <c r="F3020" i="1"/>
  <c r="G3020" i="1"/>
  <c r="H3020" i="1"/>
  <c r="J3020" i="1"/>
  <c r="A3019" i="1"/>
  <c r="C3019" i="1"/>
  <c r="D3019" i="1"/>
  <c r="F3019" i="1"/>
  <c r="G3019" i="1"/>
  <c r="H3019" i="1"/>
  <c r="J3019" i="1"/>
  <c r="A3018" i="1"/>
  <c r="C3018" i="1"/>
  <c r="D3018" i="1"/>
  <c r="F3018" i="1"/>
  <c r="G3018" i="1"/>
  <c r="H3018" i="1"/>
  <c r="J3018" i="1"/>
  <c r="A3017" i="1"/>
  <c r="C3017" i="1"/>
  <c r="D3017" i="1"/>
  <c r="F3017" i="1"/>
  <c r="G3017" i="1"/>
  <c r="H3017" i="1"/>
  <c r="J3017" i="1"/>
  <c r="A3016" i="1"/>
  <c r="C3016" i="1"/>
  <c r="D3016" i="1"/>
  <c r="F3016" i="1"/>
  <c r="G3016" i="1"/>
  <c r="H3016" i="1"/>
  <c r="J3016" i="1"/>
  <c r="A3015" i="1"/>
  <c r="C3015" i="1"/>
  <c r="D3015" i="1"/>
  <c r="F3015" i="1"/>
  <c r="G3015" i="1"/>
  <c r="H3015" i="1"/>
  <c r="J3015" i="1"/>
  <c r="A3014" i="1"/>
  <c r="C3014" i="1"/>
  <c r="D3014" i="1"/>
  <c r="F3014" i="1"/>
  <c r="G3014" i="1"/>
  <c r="H3014" i="1"/>
  <c r="J3014" i="1"/>
  <c r="A3013" i="1"/>
  <c r="C3013" i="1"/>
  <c r="D3013" i="1"/>
  <c r="F3013" i="1"/>
  <c r="G3013" i="1"/>
  <c r="H3013" i="1"/>
  <c r="J3013" i="1"/>
  <c r="A3012" i="1"/>
  <c r="C3012" i="1"/>
  <c r="D3012" i="1"/>
  <c r="F3012" i="1"/>
  <c r="G3012" i="1"/>
  <c r="H3012" i="1"/>
  <c r="J3012" i="1"/>
  <c r="A3011" i="1"/>
  <c r="C3011" i="1"/>
  <c r="D3011" i="1"/>
  <c r="F3011" i="1"/>
  <c r="G3011" i="1"/>
  <c r="J3011" i="1"/>
  <c r="A3010" i="1"/>
  <c r="C3010" i="1"/>
  <c r="D3010" i="1"/>
  <c r="F3010" i="1"/>
  <c r="G3010" i="1"/>
  <c r="J3010" i="1"/>
  <c r="A3009" i="1"/>
  <c r="C3009" i="1"/>
  <c r="D3009" i="1"/>
  <c r="F3009" i="1"/>
  <c r="G3009" i="1"/>
  <c r="J3009" i="1"/>
  <c r="A3008" i="1"/>
  <c r="C3008" i="1"/>
  <c r="D3008" i="1"/>
  <c r="F3008" i="1"/>
  <c r="G3008" i="1"/>
  <c r="J3008" i="1"/>
  <c r="A3007" i="1"/>
  <c r="C3007" i="1"/>
  <c r="D3007" i="1"/>
  <c r="F3007" i="1"/>
  <c r="G3007" i="1"/>
  <c r="J3007" i="1"/>
  <c r="A3006" i="1"/>
  <c r="C3006" i="1"/>
  <c r="D3006" i="1"/>
  <c r="F3006" i="1"/>
  <c r="G3006" i="1"/>
  <c r="J3006" i="1"/>
  <c r="L3006" i="1"/>
  <c r="A3005" i="1"/>
  <c r="C3005" i="1"/>
  <c r="D3005" i="1"/>
  <c r="F3005" i="1"/>
  <c r="G3005" i="1"/>
  <c r="J3005" i="1"/>
  <c r="A3004" i="1"/>
  <c r="C3004" i="1"/>
  <c r="D3004" i="1"/>
  <c r="F3004" i="1"/>
  <c r="G3004" i="1"/>
  <c r="J3004" i="1"/>
  <c r="L3004" i="1"/>
  <c r="A3003" i="1"/>
  <c r="C3003" i="1"/>
  <c r="D3003" i="1"/>
  <c r="F3003" i="1"/>
  <c r="G3003" i="1"/>
  <c r="J3003" i="1"/>
  <c r="A3002" i="1"/>
  <c r="C3002" i="1"/>
  <c r="D3002" i="1"/>
  <c r="F3002" i="1"/>
  <c r="G3002" i="1"/>
  <c r="J3002" i="1"/>
  <c r="L3002" i="1"/>
  <c r="A3001" i="1"/>
  <c r="C3001" i="1"/>
  <c r="D3001" i="1"/>
  <c r="F3001" i="1"/>
  <c r="G3001" i="1"/>
  <c r="J3001" i="1"/>
  <c r="L3001" i="1"/>
  <c r="A3000" i="1"/>
  <c r="C3000" i="1"/>
  <c r="D3000" i="1"/>
  <c r="F3000" i="1"/>
  <c r="G3000" i="1"/>
  <c r="J3000" i="1"/>
  <c r="A2999" i="1"/>
  <c r="D2999" i="1"/>
  <c r="F2999" i="1"/>
  <c r="G2999" i="1"/>
  <c r="J2999" i="1"/>
  <c r="A2998" i="1"/>
  <c r="D2998" i="1"/>
  <c r="F2998" i="1"/>
  <c r="G2998" i="1"/>
  <c r="J2998" i="1"/>
  <c r="A2997" i="1"/>
  <c r="C2997" i="1"/>
  <c r="D2997" i="1"/>
  <c r="F2997" i="1"/>
  <c r="G2997" i="1"/>
  <c r="J2997" i="1"/>
  <c r="A2996" i="1"/>
  <c r="D2996" i="1"/>
  <c r="F2996" i="1"/>
  <c r="G2996" i="1"/>
  <c r="J2996" i="1"/>
  <c r="A2995" i="1"/>
  <c r="C2995" i="1"/>
  <c r="D2995" i="1"/>
  <c r="E2995" i="1"/>
  <c r="F2995" i="1"/>
  <c r="G2995" i="1"/>
  <c r="J2995" i="1"/>
  <c r="A2994" i="1"/>
  <c r="C2994" i="1"/>
  <c r="D2994" i="1"/>
  <c r="E2994" i="1"/>
  <c r="F2994" i="1"/>
  <c r="G2994" i="1"/>
  <c r="J2994" i="1"/>
  <c r="A2993" i="1"/>
  <c r="C2993" i="1"/>
  <c r="D2993" i="1"/>
  <c r="F2993" i="1"/>
  <c r="G2993" i="1"/>
  <c r="J2993" i="1"/>
  <c r="L2993" i="1"/>
  <c r="A2992" i="1"/>
  <c r="C2992" i="1"/>
  <c r="D2992" i="1"/>
  <c r="E2992" i="1"/>
  <c r="F2992" i="1"/>
  <c r="G2992" i="1"/>
  <c r="J2992" i="1"/>
  <c r="A2991" i="1"/>
  <c r="C2991" i="1"/>
  <c r="D2991" i="1"/>
  <c r="E2991" i="1"/>
  <c r="F2991" i="1"/>
  <c r="G2991" i="1"/>
  <c r="J2991" i="1"/>
  <c r="A2990" i="1"/>
  <c r="C2990" i="1"/>
  <c r="D2990" i="1"/>
  <c r="F2990" i="1"/>
  <c r="G2990" i="1"/>
  <c r="J2990" i="1"/>
  <c r="A2989" i="1"/>
  <c r="C2989" i="1"/>
  <c r="D2989" i="1"/>
  <c r="E2989" i="1"/>
  <c r="F2989" i="1"/>
  <c r="G2989" i="1"/>
  <c r="J2989" i="1"/>
  <c r="A2988" i="1"/>
  <c r="D2988" i="1"/>
  <c r="F2988" i="1"/>
  <c r="G2988" i="1"/>
  <c r="J2988" i="1"/>
  <c r="A2987" i="1"/>
  <c r="C2987" i="1"/>
  <c r="D2987" i="1"/>
  <c r="F2987" i="1"/>
  <c r="G2987" i="1"/>
  <c r="J2987" i="1"/>
  <c r="A2986" i="1"/>
  <c r="D2986" i="1"/>
  <c r="E2986" i="1"/>
  <c r="F2986" i="1"/>
  <c r="G2986" i="1"/>
  <c r="J2986" i="1"/>
  <c r="A2985" i="1"/>
  <c r="D2985" i="1"/>
  <c r="E2985" i="1"/>
  <c r="F2985" i="1"/>
  <c r="G2985" i="1"/>
  <c r="J2985" i="1"/>
  <c r="A2984" i="1"/>
  <c r="C2984" i="1"/>
  <c r="D2984" i="1"/>
  <c r="E2984" i="1"/>
  <c r="F2984" i="1"/>
  <c r="G2984" i="1"/>
  <c r="J2984" i="1"/>
  <c r="A2983" i="1"/>
  <c r="E2983" i="1"/>
  <c r="F2983" i="1"/>
  <c r="G2983" i="1"/>
  <c r="J2983" i="1"/>
  <c r="A2982" i="1"/>
  <c r="C2982" i="1"/>
  <c r="D2982" i="1"/>
  <c r="F2982" i="1"/>
  <c r="G2982" i="1"/>
  <c r="J2982" i="1"/>
  <c r="L2982" i="1"/>
  <c r="A2981" i="1"/>
  <c r="C2981" i="1"/>
  <c r="D2981" i="1"/>
  <c r="F2981" i="1"/>
  <c r="G2981" i="1"/>
  <c r="J2981" i="1"/>
  <c r="L2981" i="1"/>
  <c r="A2980" i="1"/>
  <c r="C2980" i="1"/>
  <c r="D2980" i="1"/>
  <c r="F2980" i="1"/>
  <c r="G2980" i="1"/>
  <c r="H2980" i="1"/>
  <c r="J2980" i="1"/>
  <c r="A2979" i="1"/>
  <c r="C2979" i="1"/>
  <c r="D2979" i="1"/>
  <c r="F2979" i="1"/>
  <c r="G2979" i="1"/>
  <c r="H2979" i="1"/>
  <c r="J2979" i="1"/>
  <c r="A2978" i="1"/>
  <c r="C2978" i="1"/>
  <c r="D2978" i="1"/>
  <c r="F2978" i="1"/>
  <c r="G2978" i="1"/>
  <c r="H2978" i="1"/>
  <c r="J2978" i="1"/>
  <c r="A2977" i="1"/>
  <c r="C2977" i="1"/>
  <c r="D2977" i="1"/>
  <c r="F2977" i="1"/>
  <c r="G2977" i="1"/>
  <c r="H2977" i="1"/>
  <c r="J2977" i="1"/>
  <c r="A2976" i="1"/>
  <c r="C2976" i="1"/>
  <c r="D2976" i="1"/>
  <c r="E2976" i="1"/>
  <c r="F2976" i="1"/>
  <c r="G2976" i="1"/>
  <c r="J2976" i="1"/>
  <c r="A2975" i="1"/>
  <c r="C2975" i="1"/>
  <c r="D2975" i="1"/>
  <c r="F2975" i="1"/>
  <c r="G2975" i="1"/>
  <c r="J2975" i="1"/>
  <c r="A2974" i="1"/>
  <c r="C2974" i="1"/>
  <c r="D2974" i="1"/>
  <c r="F2974" i="1"/>
  <c r="G2974" i="1"/>
  <c r="J2974" i="1"/>
  <c r="A2973" i="1"/>
  <c r="D2973" i="1"/>
  <c r="F2973" i="1"/>
  <c r="G2973" i="1"/>
  <c r="J2973" i="1"/>
  <c r="A2972" i="1"/>
  <c r="C2972" i="1"/>
  <c r="D2972" i="1"/>
  <c r="F2972" i="1"/>
  <c r="G2972" i="1"/>
  <c r="J2972" i="1"/>
  <c r="A2971" i="1"/>
  <c r="D2971" i="1"/>
  <c r="F2971" i="1"/>
  <c r="G2971" i="1"/>
  <c r="J2971" i="1"/>
  <c r="A2970" i="1"/>
  <c r="C2970" i="1"/>
  <c r="D2970" i="1"/>
  <c r="E2970" i="1"/>
  <c r="F2970" i="1"/>
  <c r="G2970" i="1"/>
  <c r="J2970" i="1"/>
  <c r="A2969" i="1"/>
  <c r="C2969" i="1"/>
  <c r="D2969" i="1"/>
  <c r="F2969" i="1"/>
  <c r="G2969" i="1"/>
  <c r="J2969" i="1"/>
  <c r="A2968" i="1"/>
  <c r="C2968" i="1"/>
  <c r="D2968" i="1"/>
  <c r="E2968" i="1"/>
  <c r="F2968" i="1"/>
  <c r="G2968" i="1"/>
  <c r="J2968" i="1"/>
  <c r="A2967" i="1"/>
  <c r="C2967" i="1"/>
  <c r="D2967" i="1"/>
  <c r="F2967" i="1"/>
  <c r="G2967" i="1"/>
  <c r="J2967" i="1"/>
  <c r="A2966" i="1"/>
  <c r="C2966" i="1"/>
  <c r="D2966" i="1"/>
  <c r="F2966" i="1"/>
  <c r="G2966" i="1"/>
  <c r="J2966" i="1"/>
  <c r="A2965" i="1"/>
  <c r="C2965" i="1"/>
  <c r="D2965" i="1"/>
  <c r="F2965" i="1"/>
  <c r="G2965" i="1"/>
  <c r="J2965" i="1"/>
  <c r="A2964" i="1"/>
  <c r="C2964" i="1"/>
  <c r="D2964" i="1"/>
  <c r="F2964" i="1"/>
  <c r="G2964" i="1"/>
  <c r="J2964" i="1"/>
  <c r="A2963" i="1"/>
  <c r="C2963" i="1"/>
  <c r="D2963" i="1"/>
  <c r="E2963" i="1"/>
  <c r="F2963" i="1"/>
  <c r="G2963" i="1"/>
  <c r="J2963" i="1"/>
  <c r="A2962" i="1"/>
  <c r="C2962" i="1"/>
  <c r="D2962" i="1"/>
  <c r="E2962" i="1"/>
  <c r="F2962" i="1"/>
  <c r="G2962" i="1"/>
  <c r="J2962" i="1"/>
  <c r="A2961" i="1"/>
  <c r="C2961" i="1"/>
  <c r="D2961" i="1"/>
  <c r="F2961" i="1"/>
  <c r="G2961" i="1"/>
  <c r="J2961" i="1"/>
  <c r="A2960" i="1"/>
  <c r="C2960" i="1"/>
  <c r="D2960" i="1"/>
  <c r="E2960" i="1"/>
  <c r="F2960" i="1"/>
  <c r="G2960" i="1"/>
  <c r="J2960" i="1"/>
  <c r="A2958" i="1"/>
  <c r="C2958" i="1"/>
  <c r="D2958" i="1"/>
  <c r="F2958" i="1"/>
  <c r="G2958" i="1"/>
  <c r="J2958" i="1"/>
  <c r="A2959" i="1"/>
  <c r="C2959" i="1"/>
  <c r="D2959" i="1"/>
  <c r="E2959" i="1"/>
  <c r="F2959" i="1"/>
  <c r="G2959" i="1"/>
  <c r="J2959" i="1"/>
  <c r="A2957" i="1"/>
  <c r="D2957" i="1"/>
  <c r="E2957" i="1"/>
  <c r="F2957" i="1"/>
  <c r="G2957" i="1"/>
  <c r="J2957" i="1"/>
  <c r="A2956" i="1"/>
  <c r="C2956" i="1"/>
  <c r="D2956" i="1"/>
  <c r="F2956" i="1"/>
  <c r="G2956" i="1"/>
  <c r="J2956" i="1"/>
  <c r="A2955" i="1"/>
  <c r="C2955" i="1"/>
  <c r="D2955" i="1"/>
  <c r="F2955" i="1"/>
  <c r="G2955" i="1"/>
  <c r="J2955" i="1"/>
  <c r="A2953" i="1"/>
  <c r="C2953" i="1"/>
  <c r="D2953" i="1"/>
  <c r="F2953" i="1"/>
  <c r="G2953" i="1"/>
  <c r="J2953" i="1"/>
  <c r="A2954" i="1"/>
  <c r="C2954" i="1"/>
  <c r="D2954" i="1"/>
  <c r="F2954" i="1"/>
  <c r="G2954" i="1"/>
  <c r="J2954" i="1"/>
  <c r="A2952" i="1"/>
  <c r="C2952" i="1"/>
  <c r="D2952" i="1"/>
  <c r="F2952" i="1"/>
  <c r="G2952" i="1"/>
  <c r="J2952" i="1"/>
  <c r="A2951" i="1"/>
  <c r="D2951" i="1"/>
  <c r="F2951" i="1"/>
  <c r="G2951" i="1"/>
  <c r="J2951" i="1"/>
  <c r="A2950" i="1"/>
  <c r="C2950" i="1"/>
  <c r="D2950" i="1"/>
  <c r="F2950" i="1"/>
  <c r="G2950" i="1"/>
  <c r="J2950" i="1"/>
  <c r="A2949" i="1"/>
  <c r="C2949" i="1"/>
  <c r="D2949" i="1"/>
  <c r="F2949" i="1"/>
  <c r="G2949" i="1"/>
  <c r="J2949" i="1"/>
  <c r="A2948" i="1"/>
  <c r="C2948" i="1"/>
  <c r="D2948" i="1"/>
  <c r="F2948" i="1"/>
  <c r="G2948" i="1"/>
  <c r="J2948" i="1"/>
  <c r="A2947" i="1"/>
  <c r="C2947" i="1"/>
  <c r="D2947" i="1"/>
  <c r="F2947" i="1"/>
  <c r="G2947" i="1"/>
  <c r="J2947" i="1"/>
  <c r="A2946" i="1"/>
  <c r="C2946" i="1"/>
  <c r="D2946" i="1"/>
  <c r="E2946" i="1"/>
  <c r="F2946" i="1"/>
  <c r="G2946" i="1"/>
  <c r="J2946" i="1"/>
  <c r="A2945" i="1"/>
  <c r="C2945" i="1"/>
  <c r="E2945" i="1"/>
  <c r="F2945" i="1"/>
  <c r="G2945" i="1"/>
  <c r="J2945" i="1"/>
  <c r="A2944" i="1"/>
  <c r="C2944" i="1"/>
  <c r="D2944" i="1"/>
  <c r="F2944" i="1"/>
  <c r="G2944" i="1"/>
  <c r="J2944" i="1"/>
  <c r="A2943" i="1"/>
  <c r="C2943" i="1"/>
  <c r="D2943" i="1"/>
  <c r="F2943" i="1"/>
  <c r="G2943" i="1"/>
  <c r="J2943" i="1"/>
  <c r="A2942" i="1"/>
  <c r="C2942" i="1"/>
  <c r="D2942" i="1"/>
  <c r="F2942" i="1"/>
  <c r="G2942" i="1"/>
  <c r="J2942" i="1"/>
  <c r="A2941" i="1"/>
  <c r="D2941" i="1"/>
  <c r="F2941" i="1"/>
  <c r="G2941" i="1"/>
  <c r="H2941" i="1"/>
  <c r="J2941" i="1"/>
  <c r="A2940" i="1"/>
  <c r="C2940" i="1"/>
  <c r="D2940" i="1"/>
  <c r="F2940" i="1"/>
  <c r="G2940" i="1"/>
  <c r="J2940" i="1"/>
  <c r="L2940" i="1"/>
  <c r="A2939" i="1"/>
  <c r="C2939" i="1"/>
  <c r="D2939" i="1"/>
  <c r="F2939" i="1"/>
  <c r="G2939" i="1"/>
  <c r="J2939" i="1"/>
  <c r="A2938" i="1"/>
  <c r="C2938" i="1"/>
  <c r="D2938" i="1"/>
  <c r="F2938" i="1"/>
  <c r="G2938" i="1"/>
  <c r="J2938" i="1"/>
  <c r="A2937" i="1"/>
  <c r="C2937" i="1"/>
  <c r="D2937" i="1"/>
  <c r="E2937" i="1"/>
  <c r="F2937" i="1"/>
  <c r="G2937" i="1"/>
  <c r="J2937" i="1"/>
  <c r="A2936" i="1"/>
  <c r="C2936" i="1"/>
  <c r="D2936" i="1"/>
  <c r="F2936" i="1"/>
  <c r="G2936" i="1"/>
  <c r="J2936" i="1"/>
  <c r="L2936" i="1"/>
  <c r="A2935" i="1"/>
  <c r="C2935" i="1"/>
  <c r="D2935" i="1"/>
  <c r="E2935" i="1"/>
  <c r="F2935" i="1"/>
  <c r="G2935" i="1"/>
  <c r="J2935" i="1"/>
  <c r="A2934" i="1"/>
  <c r="D2934" i="1"/>
  <c r="F2934" i="1"/>
  <c r="G2934" i="1"/>
  <c r="J2934" i="1"/>
  <c r="A2933" i="1"/>
  <c r="D2933" i="1"/>
  <c r="F2933" i="1"/>
  <c r="G2933" i="1"/>
  <c r="J2933" i="1"/>
  <c r="A2932" i="1"/>
  <c r="C2932" i="1"/>
  <c r="D2932" i="1"/>
  <c r="F2932" i="1"/>
  <c r="G2932" i="1"/>
  <c r="J2932" i="1"/>
  <c r="L2932" i="1"/>
  <c r="A2931" i="1"/>
  <c r="C2931" i="1"/>
  <c r="D2931" i="1"/>
  <c r="F2931" i="1"/>
  <c r="G2931" i="1"/>
  <c r="H2931" i="1"/>
  <c r="I2931" i="1"/>
  <c r="J2931" i="1"/>
  <c r="A2930" i="1"/>
  <c r="D2930" i="1"/>
  <c r="F2930" i="1"/>
  <c r="G2930" i="1"/>
  <c r="J2930" i="1"/>
  <c r="A2929" i="1"/>
  <c r="C2929" i="1"/>
  <c r="D2929" i="1"/>
  <c r="F2929" i="1"/>
  <c r="G2929" i="1"/>
  <c r="J2929" i="1"/>
  <c r="A2928" i="1"/>
  <c r="C2928" i="1"/>
  <c r="D2928" i="1"/>
  <c r="F2928" i="1"/>
  <c r="G2928" i="1"/>
  <c r="J2928" i="1"/>
  <c r="A2927" i="1"/>
  <c r="C2927" i="1"/>
  <c r="D2927" i="1"/>
  <c r="F2927" i="1"/>
  <c r="G2927" i="1"/>
  <c r="J2927" i="1"/>
  <c r="A2926" i="1"/>
  <c r="C2926" i="1"/>
  <c r="D2926" i="1"/>
  <c r="F2926" i="1"/>
  <c r="G2926" i="1"/>
  <c r="J2926" i="1"/>
  <c r="A2925" i="1"/>
  <c r="C2925" i="1"/>
  <c r="D2925" i="1"/>
  <c r="F2925" i="1"/>
  <c r="G2925" i="1"/>
  <c r="J2925" i="1"/>
  <c r="A2924" i="1"/>
  <c r="C2924" i="1"/>
  <c r="D2924" i="1"/>
  <c r="E2924" i="1"/>
  <c r="F2924" i="1"/>
  <c r="G2924" i="1"/>
  <c r="J2924" i="1"/>
  <c r="A2923" i="1"/>
  <c r="C2923" i="1"/>
  <c r="D2923" i="1"/>
  <c r="E2923" i="1"/>
  <c r="F2923" i="1"/>
  <c r="G2923" i="1"/>
  <c r="J2923" i="1"/>
  <c r="A2922" i="1"/>
  <c r="C2922" i="1"/>
  <c r="D2922" i="1"/>
  <c r="F2922" i="1"/>
  <c r="G2922" i="1"/>
  <c r="J2922" i="1"/>
  <c r="A2921" i="1"/>
  <c r="C2921" i="1"/>
  <c r="D2921" i="1"/>
  <c r="F2921" i="1"/>
  <c r="G2921" i="1"/>
  <c r="J2921" i="1"/>
  <c r="A2920" i="1"/>
  <c r="C2920" i="1"/>
  <c r="D2920" i="1"/>
  <c r="F2920" i="1"/>
  <c r="G2920" i="1"/>
  <c r="J2920" i="1"/>
  <c r="A2919" i="1"/>
  <c r="C2919" i="1"/>
  <c r="D2919" i="1"/>
  <c r="E2919" i="1"/>
  <c r="F2919" i="1"/>
  <c r="G2919" i="1"/>
  <c r="J2919" i="1"/>
  <c r="A2918" i="1"/>
  <c r="C2918" i="1"/>
  <c r="D2918" i="1"/>
  <c r="F2918" i="1"/>
  <c r="G2918" i="1"/>
  <c r="J2918" i="1"/>
  <c r="A2917" i="1"/>
  <c r="D2917" i="1"/>
  <c r="F2917" i="1"/>
  <c r="G2917" i="1"/>
  <c r="J2917" i="1"/>
  <c r="A2916" i="1"/>
  <c r="C2916" i="1"/>
  <c r="D2916" i="1"/>
  <c r="E2916" i="1"/>
  <c r="F2916" i="1"/>
  <c r="G2916" i="1"/>
  <c r="J2916" i="1"/>
  <c r="A2914" i="1"/>
  <c r="C2914" i="1"/>
  <c r="D2914" i="1"/>
  <c r="F2914" i="1"/>
  <c r="G2914" i="1"/>
  <c r="J2914" i="1"/>
  <c r="A2915" i="1"/>
  <c r="D2915" i="1"/>
  <c r="F2915" i="1"/>
  <c r="G2915" i="1"/>
  <c r="J2915" i="1"/>
  <c r="A2913" i="1"/>
  <c r="C2913" i="1"/>
  <c r="D2913" i="1"/>
  <c r="F2913" i="1"/>
  <c r="G2913" i="1"/>
  <c r="J2913" i="1"/>
  <c r="A2911" i="1"/>
  <c r="C2911" i="1"/>
  <c r="D2911" i="1"/>
  <c r="E2911" i="1"/>
  <c r="F2911" i="1"/>
  <c r="G2911" i="1"/>
  <c r="J2911" i="1"/>
  <c r="A2912" i="1"/>
  <c r="C2912" i="1"/>
  <c r="D2912" i="1"/>
  <c r="E2912" i="1"/>
  <c r="F2912" i="1"/>
  <c r="G2912" i="1"/>
  <c r="J2912" i="1"/>
  <c r="A2910" i="1"/>
  <c r="C2910" i="1"/>
  <c r="D2910" i="1"/>
  <c r="F2910" i="1"/>
  <c r="G2910" i="1"/>
  <c r="J2910" i="1"/>
  <c r="A2909" i="1"/>
  <c r="C2909" i="1"/>
  <c r="D2909" i="1"/>
  <c r="F2909" i="1"/>
  <c r="G2909" i="1"/>
  <c r="J2909" i="1"/>
  <c r="A2908" i="1"/>
  <c r="C2908" i="1"/>
  <c r="D2908" i="1"/>
  <c r="F2908" i="1"/>
  <c r="G2908" i="1"/>
  <c r="J2908" i="1"/>
  <c r="A2907" i="1"/>
  <c r="D2907" i="1"/>
  <c r="F2907" i="1"/>
  <c r="G2907" i="1"/>
  <c r="J2907" i="1"/>
  <c r="A2906" i="1"/>
  <c r="C2906" i="1"/>
  <c r="D2906" i="1"/>
  <c r="F2906" i="1"/>
  <c r="G2906" i="1"/>
  <c r="J2906" i="1"/>
  <c r="A2905" i="1"/>
  <c r="C2905" i="1"/>
  <c r="D2905" i="1"/>
  <c r="F2905" i="1"/>
  <c r="G2905" i="1"/>
  <c r="J2905" i="1"/>
  <c r="A2904" i="1"/>
  <c r="C2904" i="1"/>
  <c r="D2904" i="1"/>
  <c r="F2904" i="1"/>
  <c r="G2904" i="1"/>
  <c r="J2904" i="1"/>
  <c r="A2903" i="1"/>
  <c r="D2903" i="1"/>
  <c r="E2903" i="1"/>
  <c r="F2903" i="1"/>
  <c r="G2903" i="1"/>
  <c r="J2903" i="1"/>
  <c r="A2902" i="1"/>
  <c r="C2902" i="1"/>
  <c r="D2902" i="1"/>
  <c r="F2902" i="1"/>
  <c r="G2902" i="1"/>
  <c r="J2902" i="1"/>
  <c r="A2901" i="1"/>
  <c r="C2901" i="1"/>
  <c r="D2901" i="1"/>
  <c r="F2901" i="1"/>
  <c r="G2901" i="1"/>
  <c r="J2901" i="1"/>
  <c r="A2900" i="1"/>
  <c r="C2900" i="1"/>
  <c r="F2900" i="1"/>
  <c r="G2900" i="1"/>
  <c r="H2900" i="1"/>
  <c r="I2900" i="1"/>
  <c r="J2900" i="1"/>
  <c r="A2899" i="1"/>
  <c r="C2899" i="1"/>
  <c r="D2899" i="1"/>
  <c r="F2899" i="1"/>
  <c r="G2899" i="1"/>
  <c r="H2899" i="1"/>
  <c r="J2899" i="1"/>
  <c r="L2899" i="1"/>
  <c r="A2898" i="1"/>
  <c r="C2898" i="1"/>
  <c r="D2898" i="1"/>
  <c r="E2898" i="1"/>
  <c r="F2898" i="1"/>
  <c r="G2898" i="1"/>
  <c r="J2898" i="1"/>
  <c r="A2896" i="1"/>
  <c r="C2896" i="1"/>
  <c r="D2896" i="1"/>
  <c r="F2896" i="1"/>
  <c r="G2896" i="1"/>
  <c r="H2896" i="1"/>
  <c r="J2896" i="1"/>
  <c r="A2897" i="1"/>
  <c r="D2897" i="1"/>
  <c r="E2897" i="1"/>
  <c r="F2897" i="1"/>
  <c r="G2897" i="1"/>
  <c r="J2897" i="1"/>
  <c r="A2895" i="1"/>
  <c r="C2895" i="1"/>
  <c r="D2895" i="1"/>
  <c r="E2895" i="1"/>
  <c r="F2895" i="1"/>
  <c r="G2895" i="1"/>
  <c r="J2895" i="1"/>
  <c r="A2894" i="1"/>
  <c r="C2894" i="1"/>
  <c r="D2894" i="1"/>
  <c r="F2894" i="1"/>
  <c r="G2894" i="1"/>
  <c r="H2894" i="1"/>
  <c r="J2894" i="1"/>
  <c r="A2893" i="1"/>
  <c r="C2893" i="1"/>
  <c r="D2893" i="1"/>
  <c r="F2893" i="1"/>
  <c r="G2893" i="1"/>
  <c r="J2893" i="1"/>
  <c r="A2891" i="1"/>
  <c r="C2891" i="1"/>
  <c r="D2891" i="1"/>
  <c r="F2891" i="1"/>
  <c r="G2891" i="1"/>
  <c r="J2891" i="1"/>
  <c r="A2892" i="1"/>
  <c r="C2892" i="1"/>
  <c r="D2892" i="1"/>
  <c r="E2892" i="1"/>
  <c r="F2892" i="1"/>
  <c r="G2892" i="1"/>
  <c r="J2892" i="1"/>
  <c r="A2890" i="1"/>
  <c r="C2890" i="1"/>
  <c r="D2890" i="1"/>
  <c r="F2890" i="1"/>
  <c r="G2890" i="1"/>
  <c r="J2890" i="1"/>
  <c r="A2889" i="1"/>
  <c r="C2889" i="1"/>
  <c r="D2889" i="1"/>
  <c r="F2889" i="1"/>
  <c r="G2889" i="1"/>
  <c r="J2889" i="1"/>
  <c r="L2889" i="1"/>
  <c r="A2888" i="1"/>
  <c r="C2888" i="1"/>
  <c r="D2888" i="1"/>
  <c r="F2888" i="1"/>
  <c r="G2888" i="1"/>
  <c r="J2888" i="1"/>
  <c r="L2888" i="1"/>
  <c r="A2887" i="1"/>
  <c r="D2887" i="1"/>
  <c r="E2887" i="1"/>
  <c r="F2887" i="1"/>
  <c r="G2887" i="1"/>
  <c r="H2887" i="1"/>
  <c r="J2887" i="1"/>
  <c r="A2886" i="1"/>
  <c r="C2886" i="1"/>
  <c r="D2886" i="1"/>
  <c r="E2886" i="1"/>
  <c r="F2886" i="1"/>
  <c r="G2886" i="1"/>
  <c r="J2886" i="1"/>
  <c r="A2885" i="1"/>
  <c r="C2885" i="1"/>
  <c r="D2885" i="1"/>
  <c r="F2885" i="1"/>
  <c r="G2885" i="1"/>
  <c r="J2885" i="1"/>
  <c r="L2885" i="1"/>
  <c r="A2884" i="1"/>
  <c r="C2884" i="1"/>
  <c r="D2884" i="1"/>
  <c r="F2884" i="1"/>
  <c r="G2884" i="1"/>
  <c r="J2884" i="1"/>
  <c r="L2884" i="1"/>
  <c r="A2883" i="1"/>
  <c r="D2883" i="1"/>
  <c r="E2883" i="1"/>
  <c r="F2883" i="1"/>
  <c r="G2883" i="1"/>
  <c r="J2883" i="1"/>
  <c r="A2882" i="1"/>
  <c r="C2882" i="1"/>
  <c r="D2882" i="1"/>
  <c r="F2882" i="1"/>
  <c r="G2882" i="1"/>
  <c r="J2882" i="1"/>
  <c r="L2882" i="1"/>
  <c r="A2881" i="1"/>
  <c r="E2881" i="1"/>
  <c r="F2881" i="1"/>
  <c r="J2881" i="1"/>
  <c r="A2880" i="1"/>
  <c r="C2880" i="1"/>
  <c r="D2880" i="1"/>
  <c r="F2880" i="1"/>
  <c r="G2880" i="1"/>
  <c r="J2880" i="1"/>
  <c r="L2880" i="1"/>
  <c r="A2879" i="1"/>
  <c r="C2879" i="1"/>
  <c r="D2879" i="1"/>
  <c r="F2879" i="1"/>
  <c r="G2879" i="1"/>
  <c r="J2879" i="1"/>
  <c r="L2879" i="1"/>
  <c r="A2877" i="1"/>
  <c r="C2877" i="1"/>
  <c r="D2877" i="1"/>
  <c r="F2877" i="1"/>
  <c r="G2877" i="1"/>
  <c r="J2877" i="1"/>
  <c r="A2878" i="1"/>
  <c r="D2878" i="1"/>
  <c r="E2878" i="1"/>
  <c r="F2878" i="1"/>
  <c r="G2878" i="1"/>
  <c r="J2878" i="1"/>
  <c r="A2876" i="1"/>
  <c r="C2876" i="1"/>
  <c r="D2876" i="1"/>
  <c r="F2876" i="1"/>
  <c r="G2876" i="1"/>
  <c r="J2876" i="1"/>
  <c r="A2875" i="1"/>
  <c r="C2875" i="1"/>
  <c r="D2875" i="1"/>
  <c r="F2875" i="1"/>
  <c r="G2875" i="1"/>
  <c r="J2875" i="1"/>
  <c r="A2873" i="1"/>
  <c r="C2873" i="1"/>
  <c r="D2873" i="1"/>
  <c r="F2873" i="1"/>
  <c r="G2873" i="1"/>
  <c r="J2873" i="1"/>
  <c r="A2874" i="1"/>
  <c r="C2874" i="1"/>
  <c r="D2874" i="1"/>
  <c r="F2874" i="1"/>
  <c r="G2874" i="1"/>
  <c r="J2874" i="1"/>
  <c r="A2872" i="1"/>
  <c r="E2872" i="1"/>
  <c r="F2872" i="1"/>
  <c r="G2872" i="1"/>
  <c r="J2872" i="1"/>
  <c r="A2871" i="1"/>
  <c r="C2871" i="1"/>
  <c r="D2871" i="1"/>
  <c r="F2871" i="1"/>
  <c r="G2871" i="1"/>
  <c r="J2871" i="1"/>
  <c r="A2870" i="1"/>
  <c r="C2870" i="1"/>
  <c r="D2870" i="1"/>
  <c r="F2870" i="1"/>
  <c r="G2870" i="1"/>
  <c r="J2870" i="1"/>
  <c r="A2869" i="1"/>
  <c r="C2869" i="1"/>
  <c r="D2869" i="1"/>
  <c r="E2869" i="1"/>
  <c r="F2869" i="1"/>
  <c r="G2869" i="1"/>
  <c r="J2869" i="1"/>
  <c r="A2868" i="1"/>
  <c r="C2868" i="1"/>
  <c r="D2868" i="1"/>
  <c r="F2868" i="1"/>
  <c r="G2868" i="1"/>
  <c r="J2868" i="1"/>
  <c r="A2867" i="1"/>
  <c r="C2867" i="1"/>
  <c r="D2867" i="1"/>
  <c r="F2867" i="1"/>
  <c r="G2867" i="1"/>
  <c r="J2867" i="1"/>
  <c r="A2866" i="1"/>
  <c r="C2866" i="1"/>
  <c r="D2866" i="1"/>
  <c r="F2866" i="1"/>
  <c r="G2866" i="1"/>
  <c r="J2866" i="1"/>
  <c r="A2865" i="1"/>
  <c r="C2865" i="1"/>
  <c r="D2865" i="1"/>
  <c r="F2865" i="1"/>
  <c r="G2865" i="1"/>
  <c r="J2865" i="1"/>
  <c r="A2864" i="1"/>
  <c r="C2864" i="1"/>
  <c r="D2864" i="1"/>
  <c r="F2864" i="1"/>
  <c r="G2864" i="1"/>
  <c r="J2864" i="1"/>
  <c r="A2863" i="1"/>
  <c r="C2863" i="1"/>
  <c r="D2863" i="1"/>
  <c r="F2863" i="1"/>
  <c r="G2863" i="1"/>
  <c r="J2863" i="1"/>
  <c r="A2862" i="1"/>
  <c r="C2862" i="1"/>
  <c r="D2862" i="1"/>
  <c r="F2862" i="1"/>
  <c r="G2862" i="1"/>
  <c r="J2862" i="1"/>
  <c r="A2861" i="1"/>
  <c r="C2861" i="1"/>
  <c r="D2861" i="1"/>
  <c r="F2861" i="1"/>
  <c r="G2861" i="1"/>
  <c r="J2861" i="1"/>
  <c r="A2860" i="1"/>
  <c r="D2860" i="1"/>
  <c r="F2860" i="1"/>
  <c r="G2860" i="1"/>
  <c r="J2860" i="1"/>
  <c r="A2859" i="1"/>
  <c r="C2859" i="1"/>
  <c r="D2859" i="1"/>
  <c r="F2859" i="1"/>
  <c r="G2859" i="1"/>
  <c r="H2859" i="1"/>
  <c r="J2859" i="1"/>
  <c r="A2858" i="1"/>
  <c r="C2858" i="1"/>
  <c r="D2858" i="1"/>
  <c r="F2858" i="1"/>
  <c r="G2858" i="1"/>
  <c r="J2858" i="1"/>
  <c r="A2857" i="1"/>
  <c r="C2857" i="1"/>
  <c r="D2857" i="1"/>
  <c r="F2857" i="1"/>
  <c r="G2857" i="1"/>
  <c r="J2857" i="1"/>
  <c r="A2856" i="1"/>
  <c r="D2856" i="1"/>
  <c r="F2856" i="1"/>
  <c r="G2856" i="1"/>
  <c r="J2856" i="1"/>
  <c r="A2855" i="1"/>
  <c r="C2855" i="1"/>
  <c r="D2855" i="1"/>
  <c r="F2855" i="1"/>
  <c r="G2855" i="1"/>
  <c r="J2855" i="1"/>
  <c r="A2854" i="1"/>
  <c r="D2854" i="1"/>
  <c r="F2854" i="1"/>
  <c r="G2854" i="1"/>
  <c r="J2854" i="1"/>
  <c r="A2853" i="1"/>
  <c r="C2853" i="1"/>
  <c r="D2853" i="1"/>
  <c r="E2853" i="1"/>
  <c r="F2853" i="1"/>
  <c r="G2853" i="1"/>
  <c r="J2853" i="1"/>
  <c r="A2852" i="1"/>
  <c r="C2852" i="1"/>
  <c r="D2852" i="1"/>
  <c r="F2852" i="1"/>
  <c r="G2852" i="1"/>
  <c r="H2852" i="1"/>
  <c r="I2852" i="1"/>
  <c r="J2852" i="1"/>
  <c r="A2851" i="1"/>
  <c r="C2851" i="1"/>
  <c r="F2851" i="1"/>
  <c r="G2851" i="1"/>
  <c r="H2851" i="1"/>
  <c r="I2851" i="1"/>
  <c r="J2851" i="1"/>
  <c r="L2851" i="1"/>
  <c r="A2850" i="1"/>
  <c r="C2850" i="1"/>
  <c r="D2850" i="1"/>
  <c r="E2850" i="1"/>
  <c r="F2850" i="1"/>
  <c r="G2850" i="1"/>
  <c r="J2850" i="1"/>
  <c r="A2849" i="1"/>
  <c r="C2849" i="1"/>
  <c r="F2849" i="1"/>
  <c r="G2849" i="1"/>
  <c r="H2849" i="1"/>
  <c r="I2849" i="1"/>
  <c r="J2849" i="1"/>
  <c r="L2849" i="1"/>
  <c r="A2848" i="1"/>
  <c r="C2848" i="1"/>
  <c r="D2848" i="1"/>
  <c r="E2848" i="1"/>
  <c r="F2848" i="1"/>
  <c r="G2848" i="1"/>
  <c r="J2848" i="1"/>
  <c r="A2847" i="1"/>
  <c r="C2847" i="1"/>
  <c r="D2847" i="1"/>
  <c r="E2847" i="1"/>
  <c r="F2847" i="1"/>
  <c r="G2847" i="1"/>
  <c r="J2847" i="1"/>
  <c r="A2846" i="1"/>
  <c r="D2846" i="1"/>
  <c r="F2846" i="1"/>
  <c r="G2846" i="1"/>
  <c r="H2846" i="1"/>
  <c r="J2846" i="1"/>
  <c r="A2845" i="1"/>
  <c r="C2845" i="1"/>
  <c r="D2845" i="1"/>
  <c r="E2845" i="1"/>
  <c r="F2845" i="1"/>
  <c r="G2845" i="1"/>
  <c r="J2845" i="1"/>
  <c r="A2844" i="1"/>
  <c r="C2844" i="1"/>
  <c r="D2844" i="1"/>
  <c r="E2844" i="1"/>
  <c r="F2844" i="1"/>
  <c r="G2844" i="1"/>
  <c r="J2844" i="1"/>
  <c r="A2843" i="1"/>
  <c r="C2843" i="1"/>
  <c r="D2843" i="1"/>
  <c r="E2843" i="1"/>
  <c r="F2843" i="1"/>
  <c r="G2843" i="1"/>
  <c r="J2843" i="1"/>
  <c r="A2842" i="1"/>
  <c r="C2842" i="1"/>
  <c r="D2842" i="1"/>
  <c r="E2842" i="1"/>
  <c r="F2842" i="1"/>
  <c r="G2842" i="1"/>
  <c r="J2842" i="1"/>
  <c r="A2841" i="1"/>
  <c r="C2841" i="1"/>
  <c r="D2841" i="1"/>
  <c r="F2841" i="1"/>
  <c r="G2841" i="1"/>
  <c r="J2841" i="1"/>
  <c r="A2840" i="1"/>
  <c r="C2840" i="1"/>
  <c r="D2840" i="1"/>
  <c r="E2840" i="1"/>
  <c r="F2840" i="1"/>
  <c r="G2840" i="1"/>
  <c r="J2840" i="1"/>
  <c r="A2839" i="1"/>
  <c r="C2839" i="1"/>
  <c r="D2839" i="1"/>
  <c r="F2839" i="1"/>
  <c r="G2839" i="1"/>
  <c r="J2839" i="1"/>
  <c r="A2838" i="1"/>
  <c r="C2838" i="1"/>
  <c r="D2838" i="1"/>
  <c r="F2838" i="1"/>
  <c r="G2838" i="1"/>
  <c r="J2838" i="1"/>
  <c r="A2837" i="1"/>
  <c r="D2837" i="1"/>
  <c r="F2837" i="1"/>
  <c r="G2837" i="1"/>
  <c r="H2837" i="1"/>
  <c r="J2837" i="1"/>
  <c r="A2836" i="1"/>
  <c r="D2836" i="1"/>
  <c r="F2836" i="1"/>
  <c r="G2836" i="1"/>
  <c r="J2836" i="1"/>
  <c r="A2835" i="1"/>
  <c r="C2835" i="1"/>
  <c r="D2835" i="1"/>
  <c r="F2835" i="1"/>
  <c r="G2835" i="1"/>
  <c r="J2835" i="1"/>
  <c r="A2834" i="1"/>
  <c r="C2834" i="1"/>
  <c r="D2834" i="1"/>
  <c r="E2834" i="1"/>
  <c r="F2834" i="1"/>
  <c r="G2834" i="1"/>
  <c r="J2834" i="1"/>
  <c r="A2833" i="1"/>
  <c r="C2833" i="1"/>
  <c r="D2833" i="1"/>
  <c r="E2833" i="1"/>
  <c r="F2833" i="1"/>
  <c r="G2833" i="1"/>
  <c r="J2833" i="1"/>
  <c r="A2832" i="1"/>
  <c r="C2832" i="1"/>
  <c r="D2832" i="1"/>
  <c r="F2832" i="1"/>
  <c r="G2832" i="1"/>
  <c r="J2832" i="1"/>
  <c r="A2831" i="1"/>
  <c r="C2831" i="1"/>
  <c r="D2831" i="1"/>
  <c r="F2831" i="1"/>
  <c r="G2831" i="1"/>
  <c r="J2831" i="1"/>
  <c r="A2830" i="1"/>
  <c r="C2830" i="1"/>
  <c r="D2830" i="1"/>
  <c r="F2830" i="1"/>
  <c r="G2830" i="1"/>
  <c r="J2830" i="1"/>
  <c r="A2829" i="1"/>
  <c r="C2829" i="1"/>
  <c r="D2829" i="1"/>
  <c r="E2829" i="1"/>
  <c r="F2829" i="1"/>
  <c r="G2829" i="1"/>
  <c r="J2829" i="1"/>
  <c r="A2828" i="1"/>
  <c r="C2828" i="1"/>
  <c r="D2828" i="1"/>
  <c r="F2828" i="1"/>
  <c r="G2828" i="1"/>
  <c r="J2828" i="1"/>
  <c r="A2827" i="1"/>
  <c r="C2827" i="1"/>
  <c r="D2827" i="1"/>
  <c r="F2827" i="1"/>
  <c r="G2827" i="1"/>
  <c r="J2827" i="1"/>
  <c r="A2826" i="1"/>
  <c r="C2826" i="1"/>
  <c r="D2826" i="1"/>
  <c r="F2826" i="1"/>
  <c r="G2826" i="1"/>
  <c r="J2826" i="1"/>
  <c r="A2825" i="1"/>
  <c r="D2825" i="1"/>
  <c r="F2825" i="1"/>
  <c r="G2825" i="1"/>
  <c r="J2825" i="1"/>
  <c r="A2824" i="1"/>
  <c r="C2824" i="1"/>
  <c r="D2824" i="1"/>
  <c r="F2824" i="1"/>
  <c r="G2824" i="1"/>
  <c r="J2824" i="1"/>
  <c r="A2823" i="1"/>
  <c r="C2823" i="1"/>
  <c r="D2823" i="1"/>
  <c r="F2823" i="1"/>
  <c r="G2823" i="1"/>
  <c r="J2823" i="1"/>
  <c r="A2822" i="1"/>
  <c r="C2822" i="1"/>
  <c r="D2822" i="1"/>
  <c r="F2822" i="1"/>
  <c r="G2822" i="1"/>
  <c r="J2822" i="1"/>
  <c r="A2821" i="1"/>
  <c r="D2821" i="1"/>
  <c r="F2821" i="1"/>
  <c r="G2821" i="1"/>
  <c r="J2821" i="1"/>
  <c r="A2820" i="1"/>
  <c r="C2820" i="1"/>
  <c r="D2820" i="1"/>
  <c r="F2820" i="1"/>
  <c r="G2820" i="1"/>
  <c r="H2820" i="1"/>
  <c r="J2820" i="1"/>
  <c r="A2819" i="1"/>
  <c r="D2819" i="1"/>
  <c r="F2819" i="1"/>
  <c r="G2819" i="1"/>
  <c r="J2819" i="1"/>
  <c r="A2818" i="1"/>
  <c r="C2818" i="1"/>
  <c r="D2818" i="1"/>
  <c r="F2818" i="1"/>
  <c r="G2818" i="1"/>
  <c r="J2818" i="1"/>
  <c r="A2817" i="1"/>
  <c r="C2817" i="1"/>
  <c r="D2817" i="1"/>
  <c r="E2817" i="1"/>
  <c r="F2817" i="1"/>
  <c r="G2817" i="1"/>
  <c r="J2817" i="1"/>
  <c r="A2816" i="1"/>
  <c r="C2816" i="1"/>
  <c r="D2816" i="1"/>
  <c r="F2816" i="1"/>
  <c r="G2816" i="1"/>
  <c r="J2816" i="1"/>
  <c r="A2814" i="1"/>
  <c r="D2814" i="1"/>
  <c r="F2814" i="1"/>
  <c r="G2814" i="1"/>
  <c r="J2814" i="1"/>
  <c r="A2815" i="1"/>
  <c r="C2815" i="1"/>
  <c r="D2815" i="1"/>
  <c r="F2815" i="1"/>
  <c r="G2815" i="1"/>
  <c r="J2815" i="1"/>
  <c r="A2813" i="1"/>
  <c r="C2813" i="1"/>
  <c r="D2813" i="1"/>
  <c r="F2813" i="1"/>
  <c r="G2813" i="1"/>
  <c r="J2813" i="1"/>
  <c r="L2813" i="1"/>
  <c r="A2812" i="1"/>
  <c r="C2812" i="1"/>
  <c r="D2812" i="1"/>
  <c r="F2812" i="1"/>
  <c r="G2812" i="1"/>
  <c r="J2812" i="1"/>
  <c r="A2811" i="1"/>
  <c r="C2811" i="1"/>
  <c r="D2811" i="1"/>
  <c r="F2811" i="1"/>
  <c r="G2811" i="1"/>
  <c r="J2811" i="1"/>
  <c r="A2810" i="1"/>
  <c r="C2810" i="1"/>
  <c r="D2810" i="1"/>
  <c r="E2810" i="1"/>
  <c r="F2810" i="1"/>
  <c r="G2810" i="1"/>
  <c r="J2810" i="1"/>
  <c r="A2809" i="1"/>
  <c r="C2809" i="1"/>
  <c r="D2809" i="1"/>
  <c r="F2809" i="1"/>
  <c r="G2809" i="1"/>
  <c r="J2809" i="1"/>
  <c r="A2807" i="1"/>
  <c r="C2807" i="1"/>
  <c r="D2807" i="1"/>
  <c r="F2807" i="1"/>
  <c r="G2807" i="1"/>
  <c r="J2807" i="1"/>
  <c r="A2808" i="1"/>
  <c r="D2808" i="1"/>
  <c r="F2808" i="1"/>
  <c r="G2808" i="1"/>
  <c r="J2808" i="1"/>
  <c r="A2806" i="1"/>
  <c r="C2806" i="1"/>
  <c r="D2806" i="1"/>
  <c r="F2806" i="1"/>
  <c r="G2806" i="1"/>
  <c r="H2806" i="1"/>
  <c r="I2806" i="1"/>
  <c r="J2806" i="1"/>
  <c r="L2806" i="1"/>
  <c r="A2805" i="1"/>
  <c r="C2805" i="1"/>
  <c r="D2805" i="1"/>
  <c r="F2805" i="1"/>
  <c r="G2805" i="1"/>
  <c r="J2805" i="1"/>
  <c r="A2804" i="1"/>
  <c r="C2804" i="1"/>
  <c r="D2804" i="1"/>
  <c r="F2804" i="1"/>
  <c r="G2804" i="1"/>
  <c r="J2804" i="1"/>
  <c r="A2803" i="1"/>
  <c r="C2803" i="1"/>
  <c r="D2803" i="1"/>
  <c r="F2803" i="1"/>
  <c r="G2803" i="1"/>
  <c r="J2803" i="1"/>
  <c r="A2802" i="1"/>
  <c r="C2802" i="1"/>
  <c r="D2802" i="1"/>
  <c r="F2802" i="1"/>
  <c r="G2802" i="1"/>
  <c r="J2802" i="1"/>
  <c r="A2801" i="1"/>
  <c r="C2801" i="1"/>
  <c r="D2801" i="1"/>
  <c r="F2801" i="1"/>
  <c r="G2801" i="1"/>
  <c r="J2801" i="1"/>
  <c r="A2800" i="1"/>
  <c r="C2800" i="1"/>
  <c r="D2800" i="1"/>
  <c r="F2800" i="1"/>
  <c r="G2800" i="1"/>
  <c r="J2800" i="1"/>
  <c r="A2799" i="1"/>
  <c r="C2799" i="1"/>
  <c r="D2799" i="1"/>
  <c r="F2799" i="1"/>
  <c r="G2799" i="1"/>
  <c r="H2799" i="1"/>
  <c r="I2799" i="1"/>
  <c r="J2799" i="1"/>
  <c r="A2798" i="1"/>
  <c r="C2798" i="1"/>
  <c r="D2798" i="1"/>
  <c r="F2798" i="1"/>
  <c r="G2798" i="1"/>
  <c r="H2798" i="1"/>
  <c r="I2798" i="1"/>
  <c r="J2798" i="1"/>
  <c r="A2797" i="1"/>
  <c r="C2797" i="1"/>
  <c r="D2797" i="1"/>
  <c r="F2797" i="1"/>
  <c r="G2797" i="1"/>
  <c r="J2797" i="1"/>
  <c r="A2796" i="1"/>
  <c r="C2796" i="1"/>
  <c r="D2796" i="1"/>
  <c r="F2796" i="1"/>
  <c r="G2796" i="1"/>
  <c r="J2796" i="1"/>
  <c r="A2795" i="1"/>
  <c r="C2795" i="1"/>
  <c r="D2795" i="1"/>
  <c r="F2795" i="1"/>
  <c r="G2795" i="1"/>
  <c r="J2795" i="1"/>
  <c r="A2794" i="1"/>
  <c r="C2794" i="1"/>
  <c r="D2794" i="1"/>
  <c r="F2794" i="1"/>
  <c r="G2794" i="1"/>
  <c r="J2794" i="1"/>
  <c r="A2793" i="1"/>
  <c r="C2793" i="1"/>
  <c r="D2793" i="1"/>
  <c r="F2793" i="1"/>
  <c r="G2793" i="1"/>
  <c r="J2793" i="1"/>
  <c r="A2792" i="1"/>
  <c r="D2792" i="1"/>
  <c r="E2792" i="1"/>
  <c r="F2792" i="1"/>
  <c r="G2792" i="1"/>
  <c r="J2792" i="1"/>
  <c r="A2791" i="1"/>
  <c r="C2791" i="1"/>
  <c r="D2791" i="1"/>
  <c r="F2791" i="1"/>
  <c r="G2791" i="1"/>
  <c r="J2791" i="1"/>
  <c r="A2790" i="1"/>
  <c r="E2790" i="1"/>
  <c r="F2790" i="1"/>
  <c r="J2790" i="1"/>
  <c r="A2789" i="1"/>
  <c r="C2789" i="1"/>
  <c r="D2789" i="1"/>
  <c r="E2789" i="1"/>
  <c r="F2789" i="1"/>
  <c r="G2789" i="1"/>
  <c r="J2789" i="1"/>
  <c r="A2788" i="1"/>
  <c r="C2788" i="1"/>
  <c r="D2788" i="1"/>
  <c r="F2788" i="1"/>
  <c r="G2788" i="1"/>
  <c r="J2788" i="1"/>
  <c r="A2787" i="1"/>
  <c r="C2787" i="1"/>
  <c r="D2787" i="1"/>
  <c r="F2787" i="1"/>
  <c r="G2787" i="1"/>
  <c r="J2787" i="1"/>
  <c r="A2786" i="1"/>
  <c r="D2786" i="1"/>
  <c r="E2786" i="1"/>
  <c r="F2786" i="1"/>
  <c r="G2786" i="1"/>
  <c r="J2786" i="1"/>
  <c r="A2785" i="1"/>
  <c r="C2785" i="1"/>
  <c r="D2785" i="1"/>
  <c r="F2785" i="1"/>
  <c r="G2785" i="1"/>
  <c r="J2785" i="1"/>
  <c r="A2784" i="1"/>
  <c r="C2784" i="1"/>
  <c r="D2784" i="1"/>
  <c r="F2784" i="1"/>
  <c r="G2784" i="1"/>
  <c r="J2784" i="1"/>
  <c r="A2783" i="1"/>
  <c r="E2783" i="1"/>
  <c r="F2783" i="1"/>
  <c r="G2783" i="1"/>
  <c r="J2783" i="1"/>
  <c r="A2782" i="1"/>
  <c r="C2782" i="1"/>
  <c r="D2782" i="1"/>
  <c r="F2782" i="1"/>
  <c r="G2782" i="1"/>
  <c r="J2782" i="1"/>
  <c r="L2782" i="1"/>
  <c r="A2781" i="1"/>
  <c r="C2781" i="1"/>
  <c r="D2781" i="1"/>
  <c r="E2781" i="1"/>
  <c r="F2781" i="1"/>
  <c r="G2781" i="1"/>
  <c r="J2781" i="1"/>
  <c r="A2780" i="1"/>
  <c r="C2780" i="1"/>
  <c r="D2780" i="1"/>
  <c r="F2780" i="1"/>
  <c r="G2780" i="1"/>
  <c r="J2780" i="1"/>
  <c r="A2779" i="1"/>
  <c r="C2779" i="1"/>
  <c r="D2779" i="1"/>
  <c r="F2779" i="1"/>
  <c r="G2779" i="1"/>
  <c r="J2779" i="1"/>
  <c r="A2778" i="1"/>
  <c r="C2778" i="1"/>
  <c r="D2778" i="1"/>
  <c r="F2778" i="1"/>
  <c r="G2778" i="1"/>
  <c r="J2778" i="1"/>
  <c r="A2777" i="1"/>
  <c r="C2777" i="1"/>
  <c r="D2777" i="1"/>
  <c r="F2777" i="1"/>
  <c r="G2777" i="1"/>
  <c r="J2777" i="1"/>
  <c r="A2776" i="1"/>
  <c r="C2776" i="1"/>
  <c r="D2776" i="1"/>
  <c r="F2776" i="1"/>
  <c r="G2776" i="1"/>
  <c r="J2776" i="1"/>
  <c r="A2775" i="1"/>
  <c r="D2775" i="1"/>
  <c r="F2775" i="1"/>
  <c r="G2775" i="1"/>
  <c r="J2775" i="1"/>
  <c r="A2774" i="1"/>
  <c r="C2774" i="1"/>
  <c r="D2774" i="1"/>
  <c r="F2774" i="1"/>
  <c r="G2774" i="1"/>
  <c r="J2774" i="1"/>
  <c r="A2773" i="1"/>
  <c r="C2773" i="1"/>
  <c r="D2773" i="1"/>
  <c r="F2773" i="1"/>
  <c r="G2773" i="1"/>
  <c r="J2773" i="1"/>
  <c r="A2772" i="1"/>
  <c r="C2772" i="1"/>
  <c r="D2772" i="1"/>
  <c r="E2772" i="1"/>
  <c r="F2772" i="1"/>
  <c r="G2772" i="1"/>
  <c r="J2772" i="1"/>
  <c r="A2771" i="1"/>
  <c r="C2771" i="1"/>
  <c r="D2771" i="1"/>
  <c r="E2771" i="1"/>
  <c r="F2771" i="1"/>
  <c r="G2771" i="1"/>
  <c r="J2771" i="1"/>
  <c r="A2770" i="1"/>
  <c r="C2770" i="1"/>
  <c r="D2770" i="1"/>
  <c r="E2770" i="1"/>
  <c r="F2770" i="1"/>
  <c r="G2770" i="1"/>
  <c r="J2770" i="1"/>
  <c r="A2769" i="1"/>
  <c r="C2769" i="1"/>
  <c r="D2769" i="1"/>
  <c r="F2769" i="1"/>
  <c r="G2769" i="1"/>
  <c r="J2769" i="1"/>
  <c r="A2768" i="1"/>
  <c r="C2768" i="1"/>
  <c r="D2768" i="1"/>
  <c r="F2768" i="1"/>
  <c r="G2768" i="1"/>
  <c r="J2768" i="1"/>
  <c r="A2767" i="1"/>
  <c r="C2767" i="1"/>
  <c r="D2767" i="1"/>
  <c r="F2767" i="1"/>
  <c r="G2767" i="1"/>
  <c r="J2767" i="1"/>
  <c r="A2766" i="1"/>
  <c r="C2766" i="1"/>
  <c r="D2766" i="1"/>
  <c r="F2766" i="1"/>
  <c r="G2766" i="1"/>
  <c r="J2766" i="1"/>
  <c r="A2765" i="1"/>
  <c r="C2765" i="1"/>
  <c r="D2765" i="1"/>
  <c r="F2765" i="1"/>
  <c r="G2765" i="1"/>
  <c r="J2765" i="1"/>
  <c r="A2764" i="1"/>
  <c r="C2764" i="1"/>
  <c r="D2764" i="1"/>
  <c r="F2764" i="1"/>
  <c r="G2764" i="1"/>
  <c r="J2764" i="1"/>
  <c r="L2764" i="1"/>
  <c r="A2763" i="1"/>
  <c r="C2763" i="1"/>
  <c r="D2763" i="1"/>
  <c r="F2763" i="1"/>
  <c r="G2763" i="1"/>
  <c r="J2763" i="1"/>
  <c r="A2762" i="1"/>
  <c r="C2762" i="1"/>
  <c r="D2762" i="1"/>
  <c r="E2762" i="1"/>
  <c r="F2762" i="1"/>
  <c r="G2762" i="1"/>
  <c r="J2762" i="1"/>
  <c r="A2761" i="1"/>
  <c r="C2761" i="1"/>
  <c r="D2761" i="1"/>
  <c r="E2761" i="1"/>
  <c r="F2761" i="1"/>
  <c r="G2761" i="1"/>
  <c r="J2761" i="1"/>
  <c r="A2760" i="1"/>
  <c r="D2760" i="1"/>
  <c r="F2760" i="1"/>
  <c r="G2760" i="1"/>
  <c r="J2760" i="1"/>
  <c r="A2759" i="1"/>
  <c r="C2759" i="1"/>
  <c r="D2759" i="1"/>
  <c r="F2759" i="1"/>
  <c r="G2759" i="1"/>
  <c r="J2759" i="1"/>
  <c r="A2758" i="1"/>
  <c r="C2758" i="1"/>
  <c r="D2758" i="1"/>
  <c r="E2758" i="1"/>
  <c r="F2758" i="1"/>
  <c r="G2758" i="1"/>
  <c r="J2758" i="1"/>
  <c r="A2757" i="1"/>
  <c r="C2757" i="1"/>
  <c r="D2757" i="1"/>
  <c r="F2757" i="1"/>
  <c r="G2757" i="1"/>
  <c r="J2757" i="1"/>
  <c r="A2756" i="1"/>
  <c r="C2756" i="1"/>
  <c r="D2756" i="1"/>
  <c r="F2756" i="1"/>
  <c r="G2756" i="1"/>
  <c r="J2756" i="1"/>
  <c r="A2755" i="1"/>
  <c r="C2755" i="1"/>
  <c r="D2755" i="1"/>
  <c r="F2755" i="1"/>
  <c r="G2755" i="1"/>
  <c r="J2755" i="1"/>
  <c r="A2754" i="1"/>
  <c r="C2754" i="1"/>
  <c r="D2754" i="1"/>
  <c r="F2754" i="1"/>
  <c r="G2754" i="1"/>
  <c r="J2754" i="1"/>
  <c r="A2753" i="1"/>
  <c r="C2753" i="1"/>
  <c r="D2753" i="1"/>
  <c r="F2753" i="1"/>
  <c r="G2753" i="1"/>
  <c r="J2753" i="1"/>
  <c r="L2753" i="1"/>
  <c r="A2752" i="1"/>
  <c r="C2752" i="1"/>
  <c r="D2752" i="1"/>
  <c r="E2752" i="1"/>
  <c r="F2752" i="1"/>
  <c r="G2752" i="1"/>
  <c r="J2752" i="1"/>
  <c r="A2751" i="1"/>
  <c r="C2751" i="1"/>
  <c r="D2751" i="1"/>
  <c r="E2751" i="1"/>
  <c r="F2751" i="1"/>
  <c r="G2751" i="1"/>
  <c r="J2751" i="1"/>
  <c r="A2750" i="1"/>
  <c r="D2750" i="1"/>
  <c r="F2750" i="1"/>
  <c r="G2750" i="1"/>
  <c r="J2750" i="1"/>
  <c r="A2749" i="1"/>
  <c r="C2749" i="1"/>
  <c r="D2749" i="1"/>
  <c r="F2749" i="1"/>
  <c r="G2749" i="1"/>
  <c r="J2749" i="1"/>
  <c r="A2748" i="1"/>
  <c r="D2748" i="1"/>
  <c r="F2748" i="1"/>
  <c r="G2748" i="1"/>
  <c r="J2748" i="1"/>
  <c r="A2747" i="1"/>
  <c r="C2747" i="1"/>
  <c r="D2747" i="1"/>
  <c r="F2747" i="1"/>
  <c r="G2747" i="1"/>
  <c r="J2747" i="1"/>
  <c r="L2747" i="1"/>
  <c r="A2746" i="1"/>
  <c r="C2746" i="1"/>
  <c r="D2746" i="1"/>
  <c r="F2746" i="1"/>
  <c r="G2746" i="1"/>
  <c r="J2746" i="1"/>
  <c r="A2745" i="1"/>
  <c r="C2745" i="1"/>
  <c r="D2745" i="1"/>
  <c r="F2745" i="1"/>
  <c r="G2745" i="1"/>
  <c r="J2745" i="1"/>
  <c r="A2744" i="1"/>
  <c r="C2744" i="1"/>
  <c r="D2744" i="1"/>
  <c r="F2744" i="1"/>
  <c r="G2744" i="1"/>
  <c r="J2744" i="1"/>
  <c r="A2743" i="1"/>
  <c r="C2743" i="1"/>
  <c r="D2743" i="1"/>
  <c r="F2743" i="1"/>
  <c r="G2743" i="1"/>
  <c r="J2743" i="1"/>
  <c r="A2742" i="1"/>
  <c r="C2742" i="1"/>
  <c r="D2742" i="1"/>
  <c r="F2742" i="1"/>
  <c r="G2742" i="1"/>
  <c r="J2742" i="1"/>
  <c r="A2741" i="1"/>
  <c r="C2741" i="1"/>
  <c r="D2741" i="1"/>
  <c r="F2741" i="1"/>
  <c r="G2741" i="1"/>
  <c r="J2741" i="1"/>
  <c r="A2740" i="1"/>
  <c r="C2740" i="1"/>
  <c r="D2740" i="1"/>
  <c r="F2740" i="1"/>
  <c r="G2740" i="1"/>
  <c r="J2740" i="1"/>
  <c r="A2739" i="1"/>
  <c r="C2739" i="1"/>
  <c r="D2739" i="1"/>
  <c r="E2739" i="1"/>
  <c r="F2739" i="1"/>
  <c r="G2739" i="1"/>
  <c r="J2739" i="1"/>
  <c r="A2738" i="1"/>
  <c r="C2738" i="1"/>
  <c r="D2738" i="1"/>
  <c r="E2738" i="1"/>
  <c r="F2738" i="1"/>
  <c r="G2738" i="1"/>
  <c r="J2738" i="1"/>
  <c r="A2737" i="1"/>
  <c r="C2737" i="1"/>
  <c r="D2737" i="1"/>
  <c r="E2737" i="1"/>
  <c r="F2737" i="1"/>
  <c r="G2737" i="1"/>
  <c r="J2737" i="1"/>
  <c r="A2734" i="1"/>
  <c r="C2734" i="1"/>
  <c r="D2734" i="1"/>
  <c r="F2734" i="1"/>
  <c r="G2734" i="1"/>
  <c r="J2734" i="1"/>
  <c r="A2735" i="1"/>
  <c r="C2735" i="1"/>
  <c r="D2735" i="1"/>
  <c r="F2735" i="1"/>
  <c r="G2735" i="1"/>
  <c r="J2735" i="1"/>
  <c r="A2736" i="1"/>
  <c r="C2736" i="1"/>
  <c r="D2736" i="1"/>
  <c r="E2736" i="1"/>
  <c r="F2736" i="1"/>
  <c r="G2736" i="1"/>
  <c r="J2736" i="1"/>
  <c r="A2732" i="1"/>
  <c r="C2732" i="1"/>
  <c r="D2732" i="1"/>
  <c r="F2732" i="1"/>
  <c r="G2732" i="1"/>
  <c r="J2732" i="1"/>
  <c r="A2733" i="1"/>
  <c r="C2733" i="1"/>
  <c r="D2733" i="1"/>
  <c r="F2733" i="1"/>
  <c r="G2733" i="1"/>
  <c r="J2733" i="1"/>
  <c r="A2731" i="1"/>
  <c r="C2731" i="1"/>
  <c r="D2731" i="1"/>
  <c r="F2731" i="1"/>
  <c r="G2731" i="1"/>
  <c r="J2731" i="1"/>
  <c r="A2730" i="1"/>
  <c r="C2730" i="1"/>
  <c r="D2730" i="1"/>
  <c r="F2730" i="1"/>
  <c r="G2730" i="1"/>
  <c r="J2730" i="1"/>
  <c r="A2729" i="1"/>
  <c r="C2729" i="1"/>
  <c r="D2729" i="1"/>
  <c r="F2729" i="1"/>
  <c r="G2729" i="1"/>
  <c r="J2729" i="1"/>
  <c r="A2728" i="1"/>
  <c r="C2728" i="1"/>
  <c r="D2728" i="1"/>
  <c r="E2728" i="1"/>
  <c r="F2728" i="1"/>
  <c r="G2728" i="1"/>
  <c r="J2728" i="1"/>
  <c r="A2727" i="1"/>
  <c r="D2727" i="1"/>
  <c r="E2727" i="1"/>
  <c r="F2727" i="1"/>
  <c r="G2727" i="1"/>
  <c r="J2727" i="1"/>
  <c r="A2726" i="1"/>
  <c r="C2726" i="1"/>
  <c r="D2726" i="1"/>
  <c r="F2726" i="1"/>
  <c r="G2726" i="1"/>
  <c r="J2726" i="1"/>
  <c r="A2725" i="1"/>
  <c r="D2725" i="1"/>
  <c r="E2725" i="1"/>
  <c r="F2725" i="1"/>
  <c r="G2725" i="1"/>
  <c r="J2725" i="1"/>
  <c r="A2724" i="1"/>
  <c r="D2724" i="1"/>
  <c r="F2724" i="1"/>
  <c r="G2724" i="1"/>
  <c r="J2724" i="1"/>
  <c r="A2723" i="1"/>
  <c r="C2723" i="1"/>
  <c r="D2723" i="1"/>
  <c r="E2723" i="1"/>
  <c r="F2723" i="1"/>
  <c r="G2723" i="1"/>
  <c r="J2723" i="1"/>
  <c r="A2722" i="1"/>
  <c r="D2722" i="1"/>
  <c r="E2722" i="1"/>
  <c r="F2722" i="1"/>
  <c r="G2722" i="1"/>
  <c r="J2722" i="1"/>
  <c r="A2721" i="1"/>
  <c r="C2721" i="1"/>
  <c r="D2721" i="1"/>
  <c r="F2721" i="1"/>
  <c r="G2721" i="1"/>
  <c r="J2721" i="1"/>
  <c r="A2720" i="1"/>
  <c r="C2720" i="1"/>
  <c r="D2720" i="1"/>
  <c r="F2720" i="1"/>
  <c r="G2720" i="1"/>
  <c r="J2720" i="1"/>
  <c r="A2719" i="1"/>
  <c r="C2719" i="1"/>
  <c r="D2719" i="1"/>
  <c r="F2719" i="1"/>
  <c r="G2719" i="1"/>
  <c r="J2719" i="1"/>
  <c r="A2718" i="1"/>
  <c r="C2718" i="1"/>
  <c r="D2718" i="1"/>
  <c r="F2718" i="1"/>
  <c r="G2718" i="1"/>
  <c r="J2718" i="1"/>
  <c r="L2718" i="1"/>
  <c r="A2717" i="1"/>
  <c r="C2717" i="1"/>
  <c r="D2717" i="1"/>
  <c r="F2717" i="1"/>
  <c r="G2717" i="1"/>
  <c r="J2717" i="1"/>
  <c r="L2717" i="1"/>
  <c r="A2716" i="1"/>
  <c r="C2716" i="1"/>
  <c r="D2716" i="1"/>
  <c r="F2716" i="1"/>
  <c r="G2716" i="1"/>
  <c r="J2716" i="1"/>
  <c r="A2715" i="1"/>
  <c r="C2715" i="1"/>
  <c r="D2715" i="1"/>
  <c r="F2715" i="1"/>
  <c r="G2715" i="1"/>
  <c r="J2715" i="1"/>
  <c r="A2714" i="1"/>
  <c r="C2714" i="1"/>
  <c r="D2714" i="1"/>
  <c r="F2714" i="1"/>
  <c r="G2714" i="1"/>
  <c r="J2714" i="1"/>
  <c r="A2713" i="1"/>
  <c r="D2713" i="1"/>
  <c r="F2713" i="1"/>
  <c r="G2713" i="1"/>
  <c r="J2713" i="1"/>
  <c r="A2712" i="1"/>
  <c r="C2712" i="1"/>
  <c r="D2712" i="1"/>
  <c r="F2712" i="1"/>
  <c r="G2712" i="1"/>
  <c r="J2712" i="1"/>
  <c r="A2711" i="1"/>
  <c r="C2711" i="1"/>
  <c r="D2711" i="1"/>
  <c r="F2711" i="1"/>
  <c r="G2711" i="1"/>
  <c r="J2711" i="1"/>
  <c r="A2710" i="1"/>
  <c r="C2710" i="1"/>
  <c r="D2710" i="1"/>
  <c r="E2710" i="1"/>
  <c r="F2710" i="1"/>
  <c r="G2710" i="1"/>
  <c r="J2710" i="1"/>
  <c r="A2709" i="1"/>
  <c r="C2709" i="1"/>
  <c r="D2709" i="1"/>
  <c r="F2709" i="1"/>
  <c r="G2709" i="1"/>
  <c r="J2709" i="1"/>
  <c r="A2708" i="1"/>
  <c r="C2708" i="1"/>
  <c r="D2708" i="1"/>
  <c r="F2708" i="1"/>
  <c r="G2708" i="1"/>
  <c r="J2708" i="1"/>
  <c r="A2707" i="1"/>
  <c r="C2707" i="1"/>
  <c r="D2707" i="1"/>
  <c r="E2707" i="1"/>
  <c r="F2707" i="1"/>
  <c r="G2707" i="1"/>
  <c r="J2707" i="1"/>
  <c r="A2706" i="1"/>
  <c r="C2706" i="1"/>
  <c r="D2706" i="1"/>
  <c r="F2706" i="1"/>
  <c r="G2706" i="1"/>
  <c r="J2706" i="1"/>
  <c r="A2705" i="1"/>
  <c r="C2705" i="1"/>
  <c r="D2705" i="1"/>
  <c r="E2705" i="1"/>
  <c r="F2705" i="1"/>
  <c r="G2705" i="1"/>
  <c r="J2705" i="1"/>
  <c r="A2704" i="1"/>
  <c r="C2704" i="1"/>
  <c r="D2704" i="1"/>
  <c r="F2704" i="1"/>
  <c r="G2704" i="1"/>
  <c r="J2704" i="1"/>
  <c r="A2703" i="1"/>
  <c r="C2703" i="1"/>
  <c r="D2703" i="1"/>
  <c r="F2703" i="1"/>
  <c r="G2703" i="1"/>
  <c r="J2703" i="1"/>
  <c r="A2702" i="1"/>
  <c r="C2702" i="1"/>
  <c r="D2702" i="1"/>
  <c r="E2702" i="1"/>
  <c r="F2702" i="1"/>
  <c r="G2702" i="1"/>
  <c r="J2702" i="1"/>
  <c r="A2701" i="1"/>
  <c r="D2701" i="1"/>
  <c r="E2701" i="1"/>
  <c r="F2701" i="1"/>
  <c r="G2701" i="1"/>
  <c r="J2701" i="1"/>
  <c r="A2700" i="1"/>
  <c r="C2700" i="1"/>
  <c r="D2700" i="1"/>
  <c r="E2700" i="1"/>
  <c r="F2700" i="1"/>
  <c r="G2700" i="1"/>
  <c r="J2700" i="1"/>
  <c r="A2699" i="1"/>
  <c r="C2699" i="1"/>
  <c r="D2699" i="1"/>
  <c r="E2699" i="1"/>
  <c r="F2699" i="1"/>
  <c r="G2699" i="1"/>
  <c r="J2699" i="1"/>
  <c r="A2698" i="1"/>
  <c r="D2698" i="1"/>
  <c r="F2698" i="1"/>
  <c r="G2698" i="1"/>
  <c r="J2698" i="1"/>
  <c r="A2697" i="1"/>
  <c r="C2697" i="1"/>
  <c r="D2697" i="1"/>
  <c r="F2697" i="1"/>
  <c r="G2697" i="1"/>
  <c r="J2697" i="1"/>
  <c r="L2697" i="1"/>
  <c r="A2696" i="1"/>
  <c r="C2696" i="1"/>
  <c r="D2696" i="1"/>
  <c r="F2696" i="1"/>
  <c r="G2696" i="1"/>
  <c r="J2696" i="1"/>
  <c r="A2695" i="1"/>
  <c r="C2695" i="1"/>
  <c r="D2695" i="1"/>
  <c r="F2695" i="1"/>
  <c r="G2695" i="1"/>
  <c r="J2695" i="1"/>
  <c r="L2695" i="1"/>
  <c r="A2694" i="1"/>
  <c r="D2694" i="1"/>
  <c r="F2694" i="1"/>
  <c r="G2694" i="1"/>
  <c r="J2694" i="1"/>
  <c r="A2693" i="1"/>
  <c r="C2693" i="1"/>
  <c r="D2693" i="1"/>
  <c r="F2693" i="1"/>
  <c r="G2693" i="1"/>
  <c r="J2693" i="1"/>
  <c r="A2692" i="1"/>
  <c r="C2692" i="1"/>
  <c r="D2692" i="1"/>
  <c r="E2692" i="1"/>
  <c r="F2692" i="1"/>
  <c r="G2692" i="1"/>
  <c r="J2692" i="1"/>
  <c r="A2691" i="1"/>
  <c r="D2691" i="1"/>
  <c r="F2691" i="1"/>
  <c r="G2691" i="1"/>
  <c r="J2691" i="1"/>
  <c r="A2690" i="1"/>
  <c r="C2690" i="1"/>
  <c r="D2690" i="1"/>
  <c r="F2690" i="1"/>
  <c r="G2690" i="1"/>
  <c r="J2690" i="1"/>
  <c r="A2689" i="1"/>
  <c r="C2689" i="1"/>
  <c r="D2689" i="1"/>
  <c r="F2689" i="1"/>
  <c r="G2689" i="1"/>
  <c r="J2689" i="1"/>
  <c r="A2688" i="1"/>
  <c r="C2688" i="1"/>
  <c r="D2688" i="1"/>
  <c r="E2688" i="1"/>
  <c r="F2688" i="1"/>
  <c r="G2688" i="1"/>
  <c r="J2688" i="1"/>
  <c r="A2687" i="1"/>
  <c r="D2687" i="1"/>
  <c r="F2687" i="1"/>
  <c r="G2687" i="1"/>
  <c r="J2687" i="1"/>
  <c r="A2686" i="1"/>
  <c r="C2686" i="1"/>
  <c r="D2686" i="1"/>
  <c r="F2686" i="1"/>
  <c r="G2686" i="1"/>
  <c r="J2686" i="1"/>
  <c r="A2685" i="1"/>
  <c r="C2685" i="1"/>
  <c r="D2685" i="1"/>
  <c r="E2685" i="1"/>
  <c r="F2685" i="1"/>
  <c r="G2685" i="1"/>
  <c r="J2685" i="1"/>
  <c r="A2684" i="1"/>
  <c r="D2684" i="1"/>
  <c r="F2684" i="1"/>
  <c r="G2684" i="1"/>
  <c r="J2684" i="1"/>
  <c r="A2683" i="1"/>
  <c r="C2683" i="1"/>
  <c r="D2683" i="1"/>
  <c r="E2683" i="1"/>
  <c r="F2683" i="1"/>
  <c r="G2683" i="1"/>
  <c r="J2683" i="1"/>
  <c r="A2682" i="1"/>
  <c r="D2682" i="1"/>
  <c r="F2682" i="1"/>
  <c r="G2682" i="1"/>
  <c r="J2682" i="1"/>
  <c r="A2681" i="1"/>
  <c r="C2681" i="1"/>
  <c r="D2681" i="1"/>
  <c r="E2681" i="1"/>
  <c r="F2681" i="1"/>
  <c r="G2681" i="1"/>
  <c r="J2681" i="1"/>
  <c r="A2680" i="1"/>
  <c r="C2680" i="1"/>
  <c r="D2680" i="1"/>
  <c r="E2680" i="1"/>
  <c r="F2680" i="1"/>
  <c r="G2680" i="1"/>
  <c r="J2680" i="1"/>
  <c r="A2679" i="1"/>
  <c r="C2679" i="1"/>
  <c r="D2679" i="1"/>
  <c r="F2679" i="1"/>
  <c r="G2679" i="1"/>
  <c r="J2679" i="1"/>
  <c r="A2678" i="1"/>
  <c r="C2678" i="1"/>
  <c r="D2678" i="1"/>
  <c r="E2678" i="1"/>
  <c r="F2678" i="1"/>
  <c r="G2678" i="1"/>
  <c r="J2678" i="1"/>
  <c r="A2677" i="1"/>
  <c r="D2677" i="1"/>
  <c r="F2677" i="1"/>
  <c r="G2677" i="1"/>
  <c r="J2677" i="1"/>
  <c r="A2676" i="1"/>
  <c r="C2676" i="1"/>
  <c r="D2676" i="1"/>
  <c r="F2676" i="1"/>
  <c r="G2676" i="1"/>
  <c r="J2676" i="1"/>
  <c r="A2675" i="1"/>
  <c r="D2675" i="1"/>
  <c r="F2675" i="1"/>
  <c r="G2675" i="1"/>
  <c r="J2675" i="1"/>
  <c r="A2674" i="1"/>
  <c r="C2674" i="1"/>
  <c r="D2674" i="1"/>
  <c r="F2674" i="1"/>
  <c r="G2674" i="1"/>
  <c r="J2674" i="1"/>
  <c r="A2673" i="1"/>
  <c r="C2673" i="1"/>
  <c r="D2673" i="1"/>
  <c r="F2673" i="1"/>
  <c r="G2673" i="1"/>
  <c r="J2673" i="1"/>
  <c r="A2672" i="1"/>
  <c r="D2672" i="1"/>
  <c r="F2672" i="1"/>
  <c r="G2672" i="1"/>
  <c r="J2672" i="1"/>
  <c r="A2671" i="1"/>
  <c r="C2671" i="1"/>
  <c r="D2671" i="1"/>
  <c r="F2671" i="1"/>
  <c r="G2671" i="1"/>
  <c r="J2671" i="1"/>
  <c r="A2670" i="1"/>
  <c r="C2670" i="1"/>
  <c r="D2670" i="1"/>
  <c r="E2670" i="1"/>
  <c r="F2670" i="1"/>
  <c r="G2670" i="1"/>
  <c r="J2670" i="1"/>
  <c r="A2669" i="1"/>
  <c r="C2669" i="1"/>
  <c r="D2669" i="1"/>
  <c r="E2669" i="1"/>
  <c r="F2669" i="1"/>
  <c r="G2669" i="1"/>
  <c r="J2669" i="1"/>
  <c r="A2668" i="1"/>
  <c r="C2668" i="1"/>
  <c r="D2668" i="1"/>
  <c r="F2668" i="1"/>
  <c r="G2668" i="1"/>
  <c r="J2668" i="1"/>
  <c r="A2667" i="1"/>
  <c r="D2667" i="1"/>
  <c r="E2667" i="1"/>
  <c r="F2667" i="1"/>
  <c r="G2667" i="1"/>
  <c r="J2667" i="1"/>
  <c r="A2666" i="1"/>
  <c r="C2666" i="1"/>
  <c r="D2666" i="1"/>
  <c r="E2666" i="1"/>
  <c r="F2666" i="1"/>
  <c r="G2666" i="1"/>
  <c r="J2666" i="1"/>
  <c r="A2665" i="1"/>
  <c r="D2665" i="1"/>
  <c r="F2665" i="1"/>
  <c r="G2665" i="1"/>
  <c r="J2665" i="1"/>
  <c r="A2664" i="1"/>
  <c r="E2664" i="1"/>
  <c r="F2664" i="1"/>
  <c r="G2664" i="1"/>
  <c r="J2664" i="1"/>
  <c r="A2663" i="1"/>
  <c r="C2663" i="1"/>
  <c r="D2663" i="1"/>
  <c r="F2663" i="1"/>
  <c r="G2663" i="1"/>
  <c r="J2663" i="1"/>
  <c r="A2662" i="1"/>
  <c r="C2662" i="1"/>
  <c r="D2662" i="1"/>
  <c r="E2662" i="1"/>
  <c r="F2662" i="1"/>
  <c r="G2662" i="1"/>
  <c r="J2662" i="1"/>
  <c r="A2661" i="1"/>
  <c r="C2661" i="1"/>
  <c r="D2661" i="1"/>
  <c r="E2661" i="1"/>
  <c r="F2661" i="1"/>
  <c r="G2661" i="1"/>
  <c r="J2661" i="1"/>
  <c r="A2660" i="1"/>
  <c r="C2660" i="1"/>
  <c r="D2660" i="1"/>
  <c r="F2660" i="1"/>
  <c r="G2660" i="1"/>
  <c r="J2660" i="1"/>
  <c r="L2660" i="1"/>
  <c r="A2659" i="1"/>
  <c r="C2659" i="1"/>
  <c r="D2659" i="1"/>
  <c r="F2659" i="1"/>
  <c r="G2659" i="1"/>
  <c r="J2659" i="1"/>
  <c r="A2658" i="1"/>
  <c r="C2658" i="1"/>
  <c r="D2658" i="1"/>
  <c r="F2658" i="1"/>
  <c r="G2658" i="1"/>
  <c r="J2658" i="1"/>
  <c r="A2657" i="1"/>
  <c r="C2657" i="1"/>
  <c r="D2657" i="1"/>
  <c r="F2657" i="1"/>
  <c r="G2657" i="1"/>
  <c r="J2657" i="1"/>
  <c r="A2656" i="1"/>
  <c r="D2656" i="1"/>
  <c r="F2656" i="1"/>
  <c r="G2656" i="1"/>
  <c r="J2656" i="1"/>
  <c r="A2655" i="1"/>
  <c r="C2655" i="1"/>
  <c r="D2655" i="1"/>
  <c r="E2655" i="1"/>
  <c r="F2655" i="1"/>
  <c r="G2655" i="1"/>
  <c r="J2655" i="1"/>
  <c r="A2654" i="1"/>
  <c r="C2654" i="1"/>
  <c r="D2654" i="1"/>
  <c r="F2654" i="1"/>
  <c r="G2654" i="1"/>
  <c r="J2654" i="1"/>
  <c r="A2653" i="1"/>
  <c r="C2653" i="1"/>
  <c r="D2653" i="1"/>
  <c r="F2653" i="1"/>
  <c r="G2653" i="1"/>
  <c r="J2653" i="1"/>
  <c r="A2652" i="1"/>
  <c r="C2652" i="1"/>
  <c r="D2652" i="1"/>
  <c r="F2652" i="1"/>
  <c r="G2652" i="1"/>
  <c r="J2652" i="1"/>
  <c r="A2651" i="1"/>
  <c r="C2651" i="1"/>
  <c r="D2651" i="1"/>
  <c r="F2651" i="1"/>
  <c r="G2651" i="1"/>
  <c r="J2651" i="1"/>
  <c r="A2650" i="1"/>
  <c r="C2650" i="1"/>
  <c r="D2650" i="1"/>
  <c r="F2650" i="1"/>
  <c r="G2650" i="1"/>
  <c r="J2650" i="1"/>
  <c r="A2649" i="1"/>
  <c r="C2649" i="1"/>
  <c r="D2649" i="1"/>
  <c r="F2649" i="1"/>
  <c r="G2649" i="1"/>
  <c r="J2649" i="1"/>
  <c r="A2648" i="1"/>
  <c r="C2648" i="1"/>
  <c r="D2648" i="1"/>
  <c r="F2648" i="1"/>
  <c r="G2648" i="1"/>
  <c r="J2648" i="1"/>
  <c r="A2646" i="1"/>
  <c r="C2646" i="1"/>
  <c r="D2646" i="1"/>
  <c r="F2646" i="1"/>
  <c r="G2646" i="1"/>
  <c r="J2646" i="1"/>
  <c r="A2647" i="1"/>
  <c r="E2647" i="1"/>
  <c r="F2647" i="1"/>
  <c r="G2647" i="1"/>
  <c r="J2647" i="1"/>
  <c r="A2645" i="1"/>
  <c r="D2645" i="1"/>
  <c r="E2645" i="1"/>
  <c r="F2645" i="1"/>
  <c r="G2645" i="1"/>
  <c r="J2645" i="1"/>
  <c r="A2644" i="1"/>
  <c r="E2644" i="1"/>
  <c r="F2644" i="1"/>
  <c r="J2644" i="1"/>
  <c r="A2643" i="1"/>
  <c r="C2643" i="1"/>
  <c r="D2643" i="1"/>
  <c r="E2643" i="1"/>
  <c r="F2643" i="1"/>
  <c r="G2643" i="1"/>
  <c r="J2643" i="1"/>
  <c r="A2642" i="1"/>
  <c r="C2642" i="1"/>
  <c r="D2642" i="1"/>
  <c r="F2642" i="1"/>
  <c r="G2642" i="1"/>
  <c r="J2642" i="1"/>
  <c r="A2641" i="1"/>
  <c r="C2641" i="1"/>
  <c r="D2641" i="1"/>
  <c r="F2641" i="1"/>
  <c r="G2641" i="1"/>
  <c r="J2641" i="1"/>
  <c r="L2641" i="1"/>
  <c r="A2640" i="1"/>
  <c r="C2640" i="1"/>
  <c r="D2640" i="1"/>
  <c r="F2640" i="1"/>
  <c r="G2640" i="1"/>
  <c r="J2640" i="1"/>
  <c r="A2639" i="1"/>
  <c r="C2639" i="1"/>
  <c r="D2639" i="1"/>
  <c r="F2639" i="1"/>
  <c r="G2639" i="1"/>
  <c r="J2639" i="1"/>
  <c r="A2638" i="1"/>
  <c r="C2638" i="1"/>
  <c r="D2638" i="1"/>
  <c r="F2638" i="1"/>
  <c r="G2638" i="1"/>
  <c r="J2638" i="1"/>
  <c r="A2637" i="1"/>
  <c r="C2637" i="1"/>
  <c r="D2637" i="1"/>
  <c r="F2637" i="1"/>
  <c r="G2637" i="1"/>
  <c r="H2637" i="1"/>
  <c r="J2637" i="1"/>
  <c r="A2636" i="1"/>
  <c r="C2636" i="1"/>
  <c r="D2636" i="1"/>
  <c r="F2636" i="1"/>
  <c r="G2636" i="1"/>
  <c r="H2636" i="1"/>
  <c r="J2636" i="1"/>
  <c r="A2635" i="1"/>
  <c r="C2635" i="1"/>
  <c r="D2635" i="1"/>
  <c r="F2635" i="1"/>
  <c r="G2635" i="1"/>
  <c r="H2635" i="1"/>
  <c r="J2635" i="1"/>
  <c r="A2634" i="1"/>
  <c r="C2634" i="1"/>
  <c r="D2634" i="1"/>
  <c r="F2634" i="1"/>
  <c r="G2634" i="1"/>
  <c r="H2634" i="1"/>
  <c r="J2634" i="1"/>
  <c r="A2633" i="1"/>
  <c r="C2633" i="1"/>
  <c r="D2633" i="1"/>
  <c r="F2633" i="1"/>
  <c r="G2633" i="1"/>
  <c r="J2633" i="1"/>
  <c r="A2632" i="1"/>
  <c r="C2632" i="1"/>
  <c r="D2632" i="1"/>
  <c r="F2632" i="1"/>
  <c r="G2632" i="1"/>
  <c r="J2632" i="1"/>
  <c r="A2631" i="1"/>
  <c r="C2631" i="1"/>
  <c r="D2631" i="1"/>
  <c r="F2631" i="1"/>
  <c r="G2631" i="1"/>
  <c r="J2631" i="1"/>
  <c r="A2630" i="1"/>
  <c r="C2630" i="1"/>
  <c r="D2630" i="1"/>
  <c r="F2630" i="1"/>
  <c r="G2630" i="1"/>
  <c r="J2630" i="1"/>
  <c r="A2629" i="1"/>
  <c r="C2629" i="1"/>
  <c r="D2629" i="1"/>
  <c r="F2629" i="1"/>
  <c r="G2629" i="1"/>
  <c r="J2629" i="1"/>
  <c r="A2628" i="1"/>
  <c r="C2628" i="1"/>
  <c r="D2628" i="1"/>
  <c r="F2628" i="1"/>
  <c r="G2628" i="1"/>
  <c r="J2628" i="1"/>
  <c r="A2627" i="1"/>
  <c r="C2627" i="1"/>
  <c r="D2627" i="1"/>
  <c r="F2627" i="1"/>
  <c r="G2627" i="1"/>
  <c r="J2627" i="1"/>
  <c r="L2627" i="1"/>
  <c r="A2626" i="1"/>
  <c r="D2626" i="1"/>
  <c r="E2626" i="1"/>
  <c r="F2626" i="1"/>
  <c r="G2626" i="1"/>
  <c r="J2626" i="1"/>
  <c r="A2625" i="1"/>
  <c r="C2625" i="1"/>
  <c r="D2625" i="1"/>
  <c r="F2625" i="1"/>
  <c r="G2625" i="1"/>
  <c r="J2625" i="1"/>
  <c r="A2624" i="1"/>
  <c r="C2624" i="1"/>
  <c r="D2624" i="1"/>
  <c r="F2624" i="1"/>
  <c r="G2624" i="1"/>
  <c r="J2624" i="1"/>
  <c r="L2624" i="1"/>
  <c r="A2623" i="1"/>
  <c r="C2623" i="1"/>
  <c r="D2623" i="1"/>
  <c r="F2623" i="1"/>
  <c r="G2623" i="1"/>
  <c r="J2623" i="1"/>
  <c r="A2622" i="1"/>
  <c r="C2622" i="1"/>
  <c r="D2622" i="1"/>
  <c r="E2622" i="1"/>
  <c r="F2622" i="1"/>
  <c r="G2622" i="1"/>
  <c r="J2622" i="1"/>
  <c r="A2621" i="1"/>
  <c r="C2621" i="1"/>
  <c r="D2621" i="1"/>
  <c r="F2621" i="1"/>
  <c r="G2621" i="1"/>
  <c r="J2621" i="1"/>
  <c r="A2620" i="1"/>
  <c r="C2620" i="1"/>
  <c r="D2620" i="1"/>
  <c r="F2620" i="1"/>
  <c r="G2620" i="1"/>
  <c r="J2620" i="1"/>
  <c r="A2619" i="1"/>
  <c r="C2619" i="1"/>
  <c r="D2619" i="1"/>
  <c r="F2619" i="1"/>
  <c r="G2619" i="1"/>
  <c r="J2619" i="1"/>
  <c r="A2618" i="1"/>
  <c r="C2618" i="1"/>
  <c r="D2618" i="1"/>
  <c r="F2618" i="1"/>
  <c r="G2618" i="1"/>
  <c r="J2618" i="1"/>
  <c r="A2617" i="1"/>
  <c r="C2617" i="1"/>
  <c r="D2617" i="1"/>
  <c r="F2617" i="1"/>
  <c r="G2617" i="1"/>
  <c r="J2617" i="1"/>
  <c r="A2616" i="1"/>
  <c r="C2616" i="1"/>
  <c r="D2616" i="1"/>
  <c r="F2616" i="1"/>
  <c r="G2616" i="1"/>
  <c r="J2616" i="1"/>
  <c r="A2615" i="1"/>
  <c r="D2615" i="1"/>
  <c r="F2615" i="1"/>
  <c r="G2615" i="1"/>
  <c r="J2615" i="1"/>
  <c r="A2614" i="1"/>
  <c r="C2614" i="1"/>
  <c r="D2614" i="1"/>
  <c r="E2614" i="1"/>
  <c r="F2614" i="1"/>
  <c r="G2614" i="1"/>
  <c r="J2614" i="1"/>
  <c r="A2613" i="1"/>
  <c r="C2613" i="1"/>
  <c r="D2613" i="1"/>
  <c r="F2613" i="1"/>
  <c r="G2613" i="1"/>
  <c r="J2613" i="1"/>
  <c r="A2611" i="1"/>
  <c r="C2611" i="1"/>
  <c r="D2611" i="1"/>
  <c r="F2611" i="1"/>
  <c r="G2611" i="1"/>
  <c r="J2611" i="1"/>
  <c r="A2612" i="1"/>
  <c r="C2612" i="1"/>
  <c r="D2612" i="1"/>
  <c r="E2612" i="1"/>
  <c r="F2612" i="1"/>
  <c r="G2612" i="1"/>
  <c r="J2612" i="1"/>
  <c r="A2609" i="1"/>
  <c r="C2609" i="1"/>
  <c r="D2609" i="1"/>
  <c r="F2609" i="1"/>
  <c r="G2609" i="1"/>
  <c r="J2609" i="1"/>
  <c r="A2610" i="1"/>
  <c r="C2610" i="1"/>
  <c r="D2610" i="1"/>
  <c r="F2610" i="1"/>
  <c r="G2610" i="1"/>
  <c r="J2610" i="1"/>
  <c r="A2608" i="1"/>
  <c r="C2608" i="1"/>
  <c r="D2608" i="1"/>
  <c r="E2608" i="1"/>
  <c r="F2608" i="1"/>
  <c r="G2608" i="1"/>
  <c r="J2608" i="1"/>
  <c r="A2607" i="1"/>
  <c r="C2607" i="1"/>
  <c r="D2607" i="1"/>
  <c r="E2607" i="1"/>
  <c r="F2607" i="1"/>
  <c r="G2607" i="1"/>
  <c r="J2607" i="1"/>
  <c r="A2606" i="1"/>
  <c r="C2606" i="1"/>
  <c r="D2606" i="1"/>
  <c r="F2606" i="1"/>
  <c r="G2606" i="1"/>
  <c r="J2606" i="1"/>
  <c r="A2605" i="1"/>
  <c r="C2605" i="1"/>
  <c r="D2605" i="1"/>
  <c r="F2605" i="1"/>
  <c r="G2605" i="1"/>
  <c r="J2605" i="1"/>
  <c r="A2604" i="1"/>
  <c r="C2604" i="1"/>
  <c r="D2604" i="1"/>
  <c r="F2604" i="1"/>
  <c r="G2604" i="1"/>
  <c r="J2604" i="1"/>
  <c r="A2603" i="1"/>
  <c r="C2603" i="1"/>
  <c r="D2603" i="1"/>
  <c r="F2603" i="1"/>
  <c r="G2603" i="1"/>
  <c r="J2603" i="1"/>
  <c r="A2602" i="1"/>
  <c r="C2602" i="1"/>
  <c r="D2602" i="1"/>
  <c r="F2602" i="1"/>
  <c r="G2602" i="1"/>
  <c r="J2602" i="1"/>
  <c r="A2600" i="1"/>
  <c r="D2600" i="1"/>
  <c r="F2600" i="1"/>
  <c r="G2600" i="1"/>
  <c r="J2600" i="1"/>
  <c r="A2601" i="1"/>
  <c r="D2601" i="1"/>
  <c r="E2601" i="1"/>
  <c r="F2601" i="1"/>
  <c r="G2601" i="1"/>
  <c r="J2601" i="1"/>
  <c r="A2599" i="1"/>
  <c r="C2599" i="1"/>
  <c r="D2599" i="1"/>
  <c r="F2599" i="1"/>
  <c r="G2599" i="1"/>
  <c r="J2599" i="1"/>
  <c r="A2598" i="1"/>
  <c r="C2598" i="1"/>
  <c r="D2598" i="1"/>
  <c r="F2598" i="1"/>
  <c r="G2598" i="1"/>
  <c r="J2598" i="1"/>
  <c r="A2597" i="1"/>
  <c r="C2597" i="1"/>
  <c r="D2597" i="1"/>
  <c r="F2597" i="1"/>
  <c r="G2597" i="1"/>
  <c r="J2597" i="1"/>
  <c r="L2597" i="1"/>
  <c r="A2595" i="1"/>
  <c r="C2595" i="1"/>
  <c r="D2595" i="1"/>
  <c r="F2595" i="1"/>
  <c r="G2595" i="1"/>
  <c r="J2595" i="1"/>
  <c r="A2596" i="1"/>
  <c r="D2596" i="1"/>
  <c r="E2596" i="1"/>
  <c r="F2596" i="1"/>
  <c r="G2596" i="1"/>
  <c r="J2596" i="1"/>
  <c r="A2594" i="1"/>
  <c r="C2594" i="1"/>
  <c r="D2594" i="1"/>
  <c r="F2594" i="1"/>
  <c r="G2594" i="1"/>
  <c r="J2594" i="1"/>
  <c r="L2594" i="1"/>
  <c r="A2593" i="1"/>
  <c r="E2593" i="1"/>
  <c r="F2593" i="1"/>
  <c r="G2593" i="1"/>
  <c r="J2593" i="1"/>
  <c r="A2592" i="1"/>
  <c r="C2592" i="1"/>
  <c r="D2592" i="1"/>
  <c r="F2592" i="1"/>
  <c r="G2592" i="1"/>
  <c r="J2592" i="1"/>
  <c r="A2591" i="1"/>
  <c r="C2591" i="1"/>
  <c r="D2591" i="1"/>
  <c r="E2591" i="1"/>
  <c r="F2591" i="1"/>
  <c r="G2591" i="1"/>
  <c r="J2591" i="1"/>
  <c r="A2590" i="1"/>
  <c r="C2590" i="1"/>
  <c r="D2590" i="1"/>
  <c r="E2590" i="1"/>
  <c r="F2590" i="1"/>
  <c r="G2590" i="1"/>
  <c r="J2590" i="1"/>
  <c r="A2589" i="1"/>
  <c r="C2589" i="1"/>
  <c r="D2589" i="1"/>
  <c r="F2589" i="1"/>
  <c r="G2589" i="1"/>
  <c r="H2589" i="1"/>
  <c r="J2589" i="1"/>
  <c r="A2588" i="1"/>
  <c r="C2588" i="1"/>
  <c r="D2588" i="1"/>
  <c r="F2588" i="1"/>
  <c r="G2588" i="1"/>
  <c r="H2588" i="1"/>
  <c r="J2588" i="1"/>
  <c r="A2587" i="1"/>
  <c r="C2587" i="1"/>
  <c r="D2587" i="1"/>
  <c r="F2587" i="1"/>
  <c r="G2587" i="1"/>
  <c r="H2587" i="1"/>
  <c r="J2587" i="1"/>
  <c r="A2586" i="1"/>
  <c r="C2586" i="1"/>
  <c r="D2586" i="1"/>
  <c r="F2586" i="1"/>
  <c r="G2586" i="1"/>
  <c r="H2586" i="1"/>
  <c r="J2586" i="1"/>
  <c r="A2585" i="1"/>
  <c r="C2585" i="1"/>
  <c r="D2585" i="1"/>
  <c r="F2585" i="1"/>
  <c r="G2585" i="1"/>
  <c r="H2585" i="1"/>
  <c r="J2585" i="1"/>
  <c r="A2584" i="1"/>
  <c r="C2584" i="1"/>
  <c r="D2584" i="1"/>
  <c r="F2584" i="1"/>
  <c r="G2584" i="1"/>
  <c r="H2584" i="1"/>
  <c r="J2584" i="1"/>
  <c r="A2583" i="1"/>
  <c r="C2583" i="1"/>
  <c r="D2583" i="1"/>
  <c r="F2583" i="1"/>
  <c r="G2583" i="1"/>
  <c r="H2583" i="1"/>
  <c r="J2583" i="1"/>
  <c r="A2581" i="1"/>
  <c r="C2581" i="1"/>
  <c r="D2581" i="1"/>
  <c r="F2581" i="1"/>
  <c r="G2581" i="1"/>
  <c r="H2581" i="1"/>
  <c r="J2581" i="1"/>
  <c r="A2580" i="1"/>
  <c r="C2580" i="1"/>
  <c r="D2580" i="1"/>
  <c r="F2580" i="1"/>
  <c r="G2580" i="1"/>
  <c r="H2580" i="1"/>
  <c r="J2580" i="1"/>
  <c r="A2579" i="1"/>
  <c r="C2579" i="1"/>
  <c r="D2579" i="1"/>
  <c r="F2579" i="1"/>
  <c r="G2579" i="1"/>
  <c r="H2579" i="1"/>
  <c r="J2579" i="1"/>
  <c r="A2582" i="1"/>
  <c r="C2582" i="1"/>
  <c r="D2582" i="1"/>
  <c r="E2582" i="1"/>
  <c r="F2582" i="1"/>
  <c r="G2582" i="1"/>
  <c r="J2582" i="1"/>
  <c r="A2577" i="1"/>
  <c r="D2577" i="1"/>
  <c r="F2577" i="1"/>
  <c r="G2577" i="1"/>
  <c r="J2577" i="1"/>
  <c r="A2578" i="1"/>
  <c r="C2578" i="1"/>
  <c r="D2578" i="1"/>
  <c r="E2578" i="1"/>
  <c r="F2578" i="1"/>
  <c r="G2578" i="1"/>
  <c r="J2578" i="1"/>
  <c r="A2576" i="1"/>
  <c r="C2576" i="1"/>
  <c r="D2576" i="1"/>
  <c r="F2576" i="1"/>
  <c r="G2576" i="1"/>
  <c r="H2576" i="1"/>
  <c r="J2576" i="1"/>
  <c r="A2575" i="1"/>
  <c r="C2575" i="1"/>
  <c r="D2575" i="1"/>
  <c r="F2575" i="1"/>
  <c r="G2575" i="1"/>
  <c r="H2575" i="1"/>
  <c r="J2575" i="1"/>
  <c r="A2572" i="1"/>
  <c r="C2572" i="1"/>
  <c r="D2572" i="1"/>
  <c r="F2572" i="1"/>
  <c r="G2572" i="1"/>
  <c r="H2572" i="1"/>
  <c r="J2572" i="1"/>
  <c r="A2571" i="1"/>
  <c r="C2571" i="1"/>
  <c r="D2571" i="1"/>
  <c r="F2571" i="1"/>
  <c r="G2571" i="1"/>
  <c r="H2571" i="1"/>
  <c r="J2571" i="1"/>
  <c r="A2570" i="1"/>
  <c r="C2570" i="1"/>
  <c r="D2570" i="1"/>
  <c r="F2570" i="1"/>
  <c r="G2570" i="1"/>
  <c r="H2570" i="1"/>
  <c r="J2570" i="1"/>
  <c r="A2573" i="1"/>
  <c r="C2573" i="1"/>
  <c r="D2573" i="1"/>
  <c r="F2573" i="1"/>
  <c r="G2573" i="1"/>
  <c r="J2573" i="1"/>
  <c r="A2574" i="1"/>
  <c r="C2574" i="1"/>
  <c r="D2574" i="1"/>
  <c r="E2574" i="1"/>
  <c r="F2574" i="1"/>
  <c r="G2574" i="1"/>
  <c r="J2574" i="1"/>
  <c r="A2568" i="1"/>
  <c r="C2568" i="1"/>
  <c r="D2568" i="1"/>
  <c r="F2568" i="1"/>
  <c r="G2568" i="1"/>
  <c r="H2568" i="1"/>
  <c r="J2568" i="1"/>
  <c r="A2569" i="1"/>
  <c r="D2569" i="1"/>
  <c r="E2569" i="1"/>
  <c r="F2569" i="1"/>
  <c r="G2569" i="1"/>
  <c r="J2569" i="1"/>
  <c r="A2566" i="1"/>
  <c r="C2566" i="1"/>
  <c r="D2566" i="1"/>
  <c r="F2566" i="1"/>
  <c r="G2566" i="1"/>
  <c r="H2566" i="1"/>
  <c r="J2566" i="1"/>
  <c r="A2567" i="1"/>
  <c r="C2567" i="1"/>
  <c r="D2567" i="1"/>
  <c r="F2567" i="1"/>
  <c r="G2567" i="1"/>
  <c r="H2567" i="1"/>
  <c r="J2567" i="1"/>
  <c r="A2565" i="1"/>
  <c r="C2565" i="1"/>
  <c r="D2565" i="1"/>
  <c r="F2565" i="1"/>
  <c r="G2565" i="1"/>
  <c r="H2565" i="1"/>
  <c r="J2565" i="1"/>
  <c r="A2564" i="1"/>
  <c r="C2564" i="1"/>
  <c r="D2564" i="1"/>
  <c r="F2564" i="1"/>
  <c r="G2564" i="1"/>
  <c r="H2564" i="1"/>
  <c r="J2564" i="1"/>
  <c r="A2562" i="1"/>
  <c r="C2562" i="1"/>
  <c r="D2562" i="1"/>
  <c r="F2562" i="1"/>
  <c r="G2562" i="1"/>
  <c r="H2562" i="1"/>
  <c r="J2562" i="1"/>
  <c r="A2561" i="1"/>
  <c r="C2561" i="1"/>
  <c r="D2561" i="1"/>
  <c r="F2561" i="1"/>
  <c r="G2561" i="1"/>
  <c r="H2561" i="1"/>
  <c r="J2561" i="1"/>
  <c r="A2560" i="1"/>
  <c r="C2560" i="1"/>
  <c r="D2560" i="1"/>
  <c r="F2560" i="1"/>
  <c r="G2560" i="1"/>
  <c r="H2560" i="1"/>
  <c r="J2560" i="1"/>
  <c r="A2563" i="1"/>
  <c r="C2563" i="1"/>
  <c r="D2563" i="1"/>
  <c r="F2563" i="1"/>
  <c r="G2563" i="1"/>
  <c r="J2563" i="1"/>
  <c r="A2559" i="1"/>
  <c r="C2559" i="1"/>
  <c r="D2559" i="1"/>
  <c r="F2559" i="1"/>
  <c r="G2559" i="1"/>
  <c r="H2559" i="1"/>
  <c r="J2559" i="1"/>
  <c r="A2558" i="1"/>
  <c r="C2558" i="1"/>
  <c r="D2558" i="1"/>
  <c r="F2558" i="1"/>
  <c r="G2558" i="1"/>
  <c r="H2558" i="1"/>
  <c r="J2558" i="1"/>
  <c r="A2557" i="1"/>
  <c r="C2557" i="1"/>
  <c r="D2557" i="1"/>
  <c r="F2557" i="1"/>
  <c r="G2557" i="1"/>
  <c r="H2557" i="1"/>
  <c r="J2557" i="1"/>
  <c r="A2556" i="1"/>
  <c r="C2556" i="1"/>
  <c r="D2556" i="1"/>
  <c r="F2556" i="1"/>
  <c r="G2556" i="1"/>
  <c r="H2556" i="1"/>
  <c r="J2556" i="1"/>
  <c r="A2555" i="1"/>
  <c r="C2555" i="1"/>
  <c r="D2555" i="1"/>
  <c r="F2555" i="1"/>
  <c r="G2555" i="1"/>
  <c r="H2555" i="1"/>
  <c r="J2555" i="1"/>
  <c r="A2554" i="1"/>
  <c r="C2554" i="1"/>
  <c r="D2554" i="1"/>
  <c r="F2554" i="1"/>
  <c r="G2554" i="1"/>
  <c r="H2554" i="1"/>
  <c r="J2554" i="1"/>
  <c r="A2553" i="1"/>
  <c r="C2553" i="1"/>
  <c r="D2553" i="1"/>
  <c r="F2553" i="1"/>
  <c r="G2553" i="1"/>
  <c r="H2553" i="1"/>
  <c r="J2553" i="1"/>
  <c r="A2552" i="1"/>
  <c r="C2552" i="1"/>
  <c r="D2552" i="1"/>
  <c r="F2552" i="1"/>
  <c r="G2552" i="1"/>
  <c r="H2552" i="1"/>
  <c r="J2552" i="1"/>
  <c r="A2551" i="1"/>
  <c r="C2551" i="1"/>
  <c r="D2551" i="1"/>
  <c r="F2551" i="1"/>
  <c r="G2551" i="1"/>
  <c r="H2551" i="1"/>
  <c r="J2551" i="1"/>
  <c r="A2550" i="1"/>
  <c r="C2550" i="1"/>
  <c r="D2550" i="1"/>
  <c r="F2550" i="1"/>
  <c r="G2550" i="1"/>
  <c r="H2550" i="1"/>
  <c r="J2550" i="1"/>
  <c r="A2549" i="1"/>
  <c r="C2549" i="1"/>
  <c r="D2549" i="1"/>
  <c r="F2549" i="1"/>
  <c r="G2549" i="1"/>
  <c r="H2549" i="1"/>
  <c r="J2549" i="1"/>
  <c r="A2548" i="1"/>
  <c r="C2548" i="1"/>
  <c r="D2548" i="1"/>
  <c r="F2548" i="1"/>
  <c r="G2548" i="1"/>
  <c r="H2548" i="1"/>
  <c r="J2548" i="1"/>
  <c r="A2547" i="1"/>
  <c r="C2547" i="1"/>
  <c r="D2547" i="1"/>
  <c r="F2547" i="1"/>
  <c r="G2547" i="1"/>
  <c r="H2547" i="1"/>
  <c r="J2547" i="1"/>
  <c r="A2544" i="1"/>
  <c r="C2544" i="1"/>
  <c r="D2544" i="1"/>
  <c r="F2544" i="1"/>
  <c r="G2544" i="1"/>
  <c r="H2544" i="1"/>
  <c r="J2544" i="1"/>
  <c r="A2543" i="1"/>
  <c r="C2543" i="1"/>
  <c r="D2543" i="1"/>
  <c r="F2543" i="1"/>
  <c r="G2543" i="1"/>
  <c r="H2543" i="1"/>
  <c r="J2543" i="1"/>
  <c r="A2542" i="1"/>
  <c r="C2542" i="1"/>
  <c r="D2542" i="1"/>
  <c r="F2542" i="1"/>
  <c r="G2542" i="1"/>
  <c r="H2542" i="1"/>
  <c r="J2542" i="1"/>
  <c r="A2546" i="1"/>
  <c r="C2546" i="1"/>
  <c r="D2546" i="1"/>
  <c r="F2546" i="1"/>
  <c r="G2546" i="1"/>
  <c r="J2546" i="1"/>
  <c r="L2546" i="1"/>
  <c r="A2545" i="1"/>
  <c r="D2545" i="1"/>
  <c r="F2545" i="1"/>
  <c r="G2545" i="1"/>
  <c r="J2545" i="1"/>
  <c r="A2541" i="1"/>
  <c r="C2541" i="1"/>
  <c r="D2541" i="1"/>
  <c r="F2541" i="1"/>
  <c r="G2541" i="1"/>
  <c r="H2541" i="1"/>
  <c r="J2541" i="1"/>
  <c r="A2540" i="1"/>
  <c r="C2540" i="1"/>
  <c r="D2540" i="1"/>
  <c r="F2540" i="1"/>
  <c r="G2540" i="1"/>
  <c r="H2540" i="1"/>
  <c r="J2540" i="1"/>
  <c r="A2538" i="1"/>
  <c r="C2538" i="1"/>
  <c r="D2538" i="1"/>
  <c r="F2538" i="1"/>
  <c r="G2538" i="1"/>
  <c r="H2538" i="1"/>
  <c r="J2538" i="1"/>
  <c r="A2539" i="1"/>
  <c r="D2539" i="1"/>
  <c r="F2539" i="1"/>
  <c r="G2539" i="1"/>
  <c r="J2539" i="1"/>
  <c r="A2537" i="1"/>
  <c r="C2537" i="1"/>
  <c r="D2537" i="1"/>
  <c r="F2537" i="1"/>
  <c r="G2537" i="1"/>
  <c r="H2537" i="1"/>
  <c r="J2537" i="1"/>
  <c r="A2536" i="1"/>
  <c r="C2536" i="1"/>
  <c r="D2536" i="1"/>
  <c r="F2536" i="1"/>
  <c r="G2536" i="1"/>
  <c r="H2536" i="1"/>
  <c r="J2536" i="1"/>
  <c r="A2535" i="1"/>
  <c r="C2535" i="1"/>
  <c r="D2535" i="1"/>
  <c r="F2535" i="1"/>
  <c r="G2535" i="1"/>
  <c r="H2535" i="1"/>
  <c r="J2535" i="1"/>
  <c r="A2534" i="1"/>
  <c r="C2534" i="1"/>
  <c r="D2534" i="1"/>
  <c r="F2534" i="1"/>
  <c r="G2534" i="1"/>
  <c r="H2534" i="1"/>
  <c r="J2534" i="1"/>
  <c r="A2532" i="1"/>
  <c r="C2532" i="1"/>
  <c r="D2532" i="1"/>
  <c r="F2532" i="1"/>
  <c r="G2532" i="1"/>
  <c r="H2532" i="1"/>
  <c r="J2532" i="1"/>
  <c r="A2531" i="1"/>
  <c r="C2531" i="1"/>
  <c r="D2531" i="1"/>
  <c r="F2531" i="1"/>
  <c r="G2531" i="1"/>
  <c r="H2531" i="1"/>
  <c r="J2531" i="1"/>
  <c r="A2533" i="1"/>
  <c r="D2533" i="1"/>
  <c r="F2533" i="1"/>
  <c r="G2533" i="1"/>
  <c r="J2533" i="1"/>
  <c r="A2529" i="1"/>
  <c r="C2529" i="1"/>
  <c r="D2529" i="1"/>
  <c r="F2529" i="1"/>
  <c r="G2529" i="1"/>
  <c r="H2529" i="1"/>
  <c r="J2529" i="1"/>
  <c r="A2528" i="1"/>
  <c r="C2528" i="1"/>
  <c r="D2528" i="1"/>
  <c r="F2528" i="1"/>
  <c r="G2528" i="1"/>
  <c r="H2528" i="1"/>
  <c r="J2528" i="1"/>
  <c r="A2530" i="1"/>
  <c r="C2530" i="1"/>
  <c r="D2530" i="1"/>
  <c r="F2530" i="1"/>
  <c r="G2530" i="1"/>
  <c r="J2530" i="1"/>
  <c r="A2527" i="1"/>
  <c r="C2527" i="1"/>
  <c r="D2527" i="1"/>
  <c r="F2527" i="1"/>
  <c r="G2527" i="1"/>
  <c r="H2527" i="1"/>
  <c r="J2527" i="1"/>
  <c r="A2526" i="1"/>
  <c r="C2526" i="1"/>
  <c r="D2526" i="1"/>
  <c r="F2526" i="1"/>
  <c r="G2526" i="1"/>
  <c r="H2526" i="1"/>
  <c r="J2526" i="1"/>
  <c r="A2525" i="1"/>
  <c r="C2525" i="1"/>
  <c r="D2525" i="1"/>
  <c r="F2525" i="1"/>
  <c r="G2525" i="1"/>
  <c r="H2525" i="1"/>
  <c r="J2525" i="1"/>
  <c r="A2524" i="1"/>
  <c r="C2524" i="1"/>
  <c r="D2524" i="1"/>
  <c r="F2524" i="1"/>
  <c r="G2524" i="1"/>
  <c r="H2524" i="1"/>
  <c r="J2524" i="1"/>
  <c r="A2523" i="1"/>
  <c r="C2523" i="1"/>
  <c r="D2523" i="1"/>
  <c r="F2523" i="1"/>
  <c r="G2523" i="1"/>
  <c r="H2523" i="1"/>
  <c r="J2523" i="1"/>
  <c r="A2522" i="1"/>
  <c r="C2522" i="1"/>
  <c r="D2522" i="1"/>
  <c r="F2522" i="1"/>
  <c r="G2522" i="1"/>
  <c r="H2522" i="1"/>
  <c r="J2522" i="1"/>
  <c r="A2521" i="1"/>
  <c r="C2521" i="1"/>
  <c r="D2521" i="1"/>
  <c r="F2521" i="1"/>
  <c r="G2521" i="1"/>
  <c r="H2521" i="1"/>
  <c r="J2521" i="1"/>
  <c r="A2520" i="1"/>
  <c r="C2520" i="1"/>
  <c r="D2520" i="1"/>
  <c r="F2520" i="1"/>
  <c r="G2520" i="1"/>
  <c r="H2520" i="1"/>
  <c r="J2520" i="1"/>
  <c r="A2519" i="1"/>
  <c r="C2519" i="1"/>
  <c r="D2519" i="1"/>
  <c r="F2519" i="1"/>
  <c r="G2519" i="1"/>
  <c r="H2519" i="1"/>
  <c r="J2519" i="1"/>
  <c r="A2518" i="1"/>
  <c r="C2518" i="1"/>
  <c r="D2518" i="1"/>
  <c r="F2518" i="1"/>
  <c r="G2518" i="1"/>
  <c r="H2518" i="1"/>
  <c r="J2518" i="1"/>
  <c r="A2517" i="1"/>
  <c r="C2517" i="1"/>
  <c r="D2517" i="1"/>
  <c r="F2517" i="1"/>
  <c r="G2517" i="1"/>
  <c r="H2517" i="1"/>
  <c r="J2517" i="1"/>
  <c r="A2515" i="1"/>
  <c r="C2515" i="1"/>
  <c r="D2515" i="1"/>
  <c r="F2515" i="1"/>
  <c r="G2515" i="1"/>
  <c r="H2515" i="1"/>
  <c r="J2515" i="1"/>
  <c r="A2514" i="1"/>
  <c r="C2514" i="1"/>
  <c r="D2514" i="1"/>
  <c r="F2514" i="1"/>
  <c r="G2514" i="1"/>
  <c r="H2514" i="1"/>
  <c r="J2514" i="1"/>
  <c r="A2516" i="1"/>
  <c r="C2516" i="1"/>
  <c r="D2516" i="1"/>
  <c r="F2516" i="1"/>
  <c r="G2516" i="1"/>
  <c r="H2516" i="1"/>
  <c r="J2516" i="1"/>
  <c r="A2513" i="1"/>
  <c r="C2513" i="1"/>
  <c r="D2513" i="1"/>
  <c r="F2513" i="1"/>
  <c r="G2513" i="1"/>
  <c r="H2513" i="1"/>
  <c r="J2513" i="1"/>
  <c r="A2512" i="1"/>
  <c r="C2512" i="1"/>
  <c r="D2512" i="1"/>
  <c r="F2512" i="1"/>
  <c r="G2512" i="1"/>
  <c r="H2512" i="1"/>
  <c r="J2512" i="1"/>
  <c r="A2511" i="1"/>
  <c r="C2511" i="1"/>
  <c r="D2511" i="1"/>
  <c r="F2511" i="1"/>
  <c r="G2511" i="1"/>
  <c r="H2511" i="1"/>
  <c r="J2511" i="1"/>
  <c r="A2510" i="1"/>
  <c r="C2510" i="1"/>
  <c r="D2510" i="1"/>
  <c r="F2510" i="1"/>
  <c r="G2510" i="1"/>
  <c r="H2510" i="1"/>
  <c r="J2510" i="1"/>
  <c r="A2509" i="1"/>
  <c r="C2509" i="1"/>
  <c r="D2509" i="1"/>
  <c r="F2509" i="1"/>
  <c r="G2509" i="1"/>
  <c r="H2509" i="1"/>
  <c r="J2509" i="1"/>
  <c r="A2508" i="1"/>
  <c r="C2508" i="1"/>
  <c r="D2508" i="1"/>
  <c r="F2508" i="1"/>
  <c r="G2508" i="1"/>
  <c r="H2508" i="1"/>
  <c r="J2508" i="1"/>
  <c r="A2507" i="1"/>
  <c r="C2507" i="1"/>
  <c r="D2507" i="1"/>
  <c r="F2507" i="1"/>
  <c r="G2507" i="1"/>
  <c r="H2507" i="1"/>
  <c r="J2507" i="1"/>
  <c r="A2506" i="1"/>
  <c r="C2506" i="1"/>
  <c r="D2506" i="1"/>
  <c r="F2506" i="1"/>
  <c r="G2506" i="1"/>
  <c r="H2506" i="1"/>
  <c r="J2506" i="1"/>
  <c r="A2505" i="1"/>
  <c r="C2505" i="1"/>
  <c r="D2505" i="1"/>
  <c r="F2505" i="1"/>
  <c r="G2505" i="1"/>
  <c r="H2505" i="1"/>
  <c r="J2505" i="1"/>
  <c r="A2504" i="1"/>
  <c r="C2504" i="1"/>
  <c r="D2504" i="1"/>
  <c r="F2504" i="1"/>
  <c r="G2504" i="1"/>
  <c r="H2504" i="1"/>
  <c r="J2504" i="1"/>
  <c r="A2503" i="1"/>
  <c r="C2503" i="1"/>
  <c r="D2503" i="1"/>
  <c r="F2503" i="1"/>
  <c r="G2503" i="1"/>
  <c r="H2503" i="1"/>
  <c r="J2503" i="1"/>
  <c r="A2502" i="1"/>
  <c r="C2502" i="1"/>
  <c r="D2502" i="1"/>
  <c r="F2502" i="1"/>
  <c r="G2502" i="1"/>
  <c r="H2502" i="1"/>
  <c r="J2502" i="1"/>
  <c r="A2501" i="1"/>
  <c r="C2501" i="1"/>
  <c r="D2501" i="1"/>
  <c r="F2501" i="1"/>
  <c r="G2501" i="1"/>
  <c r="H2501" i="1"/>
  <c r="J2501" i="1"/>
  <c r="A2500" i="1"/>
  <c r="C2500" i="1"/>
  <c r="D2500" i="1"/>
  <c r="F2500" i="1"/>
  <c r="G2500" i="1"/>
  <c r="H2500" i="1"/>
  <c r="J2500" i="1"/>
  <c r="A2498" i="1"/>
  <c r="C2498" i="1"/>
  <c r="D2498" i="1"/>
  <c r="F2498" i="1"/>
  <c r="G2498" i="1"/>
  <c r="H2498" i="1"/>
  <c r="J2498" i="1"/>
  <c r="A2497" i="1"/>
  <c r="C2497" i="1"/>
  <c r="D2497" i="1"/>
  <c r="F2497" i="1"/>
  <c r="G2497" i="1"/>
  <c r="H2497" i="1"/>
  <c r="J2497" i="1"/>
  <c r="A2499" i="1"/>
  <c r="D2499" i="1"/>
  <c r="F2499" i="1"/>
  <c r="G2499" i="1"/>
  <c r="J2499" i="1"/>
  <c r="A2496" i="1"/>
  <c r="C2496" i="1"/>
  <c r="D2496" i="1"/>
  <c r="F2496" i="1"/>
  <c r="G2496" i="1"/>
  <c r="H2496" i="1"/>
  <c r="J2496" i="1"/>
  <c r="A2495" i="1"/>
  <c r="C2495" i="1"/>
  <c r="D2495" i="1"/>
  <c r="F2495" i="1"/>
  <c r="G2495" i="1"/>
  <c r="H2495" i="1"/>
  <c r="J2495" i="1"/>
  <c r="A2493" i="1"/>
  <c r="C2493" i="1"/>
  <c r="D2493" i="1"/>
  <c r="F2493" i="1"/>
  <c r="G2493" i="1"/>
  <c r="H2493" i="1"/>
  <c r="J2493" i="1"/>
  <c r="A2492" i="1"/>
  <c r="C2492" i="1"/>
  <c r="D2492" i="1"/>
  <c r="F2492" i="1"/>
  <c r="G2492" i="1"/>
  <c r="H2492" i="1"/>
  <c r="J2492" i="1"/>
  <c r="A2494" i="1"/>
  <c r="C2494" i="1"/>
  <c r="D2494" i="1"/>
  <c r="F2494" i="1"/>
  <c r="G2494" i="1"/>
  <c r="J2494" i="1"/>
  <c r="A2491" i="1"/>
  <c r="C2491" i="1"/>
  <c r="D2491" i="1"/>
  <c r="F2491" i="1"/>
  <c r="G2491" i="1"/>
  <c r="H2491" i="1"/>
  <c r="J2491" i="1"/>
  <c r="A2490" i="1"/>
  <c r="C2490" i="1"/>
  <c r="D2490" i="1"/>
  <c r="F2490" i="1"/>
  <c r="G2490" i="1"/>
  <c r="H2490" i="1"/>
  <c r="J2490" i="1"/>
  <c r="A2488" i="1"/>
  <c r="C2488" i="1"/>
  <c r="D2488" i="1"/>
  <c r="F2488" i="1"/>
  <c r="G2488" i="1"/>
  <c r="H2488" i="1"/>
  <c r="J2488" i="1"/>
  <c r="A2489" i="1"/>
  <c r="C2489" i="1"/>
  <c r="D2489" i="1"/>
  <c r="F2489" i="1"/>
  <c r="G2489" i="1"/>
  <c r="J2489" i="1"/>
  <c r="A2487" i="1"/>
  <c r="C2487" i="1"/>
  <c r="D2487" i="1"/>
  <c r="F2487" i="1"/>
  <c r="G2487" i="1"/>
  <c r="H2487" i="1"/>
  <c r="J2487" i="1"/>
  <c r="A2486" i="1"/>
  <c r="C2486" i="1"/>
  <c r="D2486" i="1"/>
  <c r="F2486" i="1"/>
  <c r="G2486" i="1"/>
  <c r="H2486" i="1"/>
  <c r="J2486" i="1"/>
  <c r="A2485" i="1"/>
  <c r="C2485" i="1"/>
  <c r="D2485" i="1"/>
  <c r="F2485" i="1"/>
  <c r="G2485" i="1"/>
  <c r="H2485" i="1"/>
  <c r="J2485" i="1"/>
  <c r="A2484" i="1"/>
  <c r="C2484" i="1"/>
  <c r="D2484" i="1"/>
  <c r="F2484" i="1"/>
  <c r="G2484" i="1"/>
  <c r="H2484" i="1"/>
  <c r="J2484" i="1"/>
  <c r="A2483" i="1"/>
  <c r="C2483" i="1"/>
  <c r="D2483" i="1"/>
  <c r="F2483" i="1"/>
  <c r="G2483" i="1"/>
  <c r="H2483" i="1"/>
  <c r="J2483" i="1"/>
  <c r="A2482" i="1"/>
  <c r="C2482" i="1"/>
  <c r="D2482" i="1"/>
  <c r="F2482" i="1"/>
  <c r="G2482" i="1"/>
  <c r="H2482" i="1"/>
  <c r="J2482" i="1"/>
  <c r="A2481" i="1"/>
  <c r="C2481" i="1"/>
  <c r="D2481" i="1"/>
  <c r="F2481" i="1"/>
  <c r="G2481" i="1"/>
  <c r="H2481" i="1"/>
  <c r="J2481" i="1"/>
  <c r="A2480" i="1"/>
  <c r="C2480" i="1"/>
  <c r="D2480" i="1"/>
  <c r="F2480" i="1"/>
  <c r="G2480" i="1"/>
  <c r="H2480" i="1"/>
  <c r="J2480" i="1"/>
  <c r="A2479" i="1"/>
  <c r="C2479" i="1"/>
  <c r="D2479" i="1"/>
  <c r="F2479" i="1"/>
  <c r="G2479" i="1"/>
  <c r="H2479" i="1"/>
  <c r="J2479" i="1"/>
  <c r="A2477" i="1"/>
  <c r="C2477" i="1"/>
  <c r="D2477" i="1"/>
  <c r="F2477" i="1"/>
  <c r="G2477" i="1"/>
  <c r="H2477" i="1"/>
  <c r="J2477" i="1"/>
  <c r="A2478" i="1"/>
  <c r="C2478" i="1"/>
  <c r="D2478" i="1"/>
  <c r="E2478" i="1"/>
  <c r="F2478" i="1"/>
  <c r="G2478" i="1"/>
  <c r="J2478" i="1"/>
  <c r="A2476" i="1"/>
  <c r="C2476" i="1"/>
  <c r="D2476" i="1"/>
  <c r="E2476" i="1"/>
  <c r="F2476" i="1"/>
  <c r="G2476" i="1"/>
  <c r="J2476" i="1"/>
  <c r="A2475" i="1"/>
  <c r="D2475" i="1"/>
  <c r="E2475" i="1"/>
  <c r="F2475" i="1"/>
  <c r="J2475" i="1"/>
  <c r="A2474" i="1"/>
  <c r="C2474" i="1"/>
  <c r="D2474" i="1"/>
  <c r="F2474" i="1"/>
  <c r="G2474" i="1"/>
  <c r="J2474" i="1"/>
  <c r="A2473" i="1"/>
  <c r="C2473" i="1"/>
  <c r="D2473" i="1"/>
  <c r="E2473" i="1"/>
  <c r="F2473" i="1"/>
  <c r="G2473" i="1"/>
  <c r="J2473" i="1"/>
  <c r="A2472" i="1"/>
  <c r="C2472" i="1"/>
  <c r="D2472" i="1"/>
  <c r="F2472" i="1"/>
  <c r="G2472" i="1"/>
  <c r="J2472" i="1"/>
  <c r="L2472" i="1"/>
  <c r="A2470" i="1"/>
  <c r="C2470" i="1"/>
  <c r="D2470" i="1"/>
  <c r="F2470" i="1"/>
  <c r="G2470" i="1"/>
  <c r="J2470" i="1"/>
  <c r="L2470" i="1"/>
  <c r="A2469" i="1"/>
  <c r="D2469" i="1"/>
  <c r="F2469" i="1"/>
  <c r="G2469" i="1"/>
  <c r="J2469" i="1"/>
  <c r="A2471" i="1"/>
  <c r="D2471" i="1"/>
  <c r="E2471" i="1"/>
  <c r="F2471" i="1"/>
  <c r="G2471" i="1"/>
  <c r="J2471" i="1"/>
  <c r="A2468" i="1"/>
  <c r="D2468" i="1"/>
  <c r="F2468" i="1"/>
  <c r="G2468" i="1"/>
  <c r="J2468" i="1"/>
  <c r="A2467" i="1"/>
  <c r="C2467" i="1"/>
  <c r="D2467" i="1"/>
  <c r="F2467" i="1"/>
  <c r="G2467" i="1"/>
  <c r="J2467" i="1"/>
  <c r="L2467" i="1"/>
  <c r="A2466" i="1"/>
  <c r="C2466" i="1"/>
  <c r="D2466" i="1"/>
  <c r="F2466" i="1"/>
  <c r="G2466" i="1"/>
  <c r="J2466" i="1"/>
  <c r="A2465" i="1"/>
  <c r="C2465" i="1"/>
  <c r="D2465" i="1"/>
  <c r="F2465" i="1"/>
  <c r="G2465" i="1"/>
  <c r="J2465" i="1"/>
  <c r="A2464" i="1"/>
  <c r="C2464" i="1"/>
  <c r="D2464" i="1"/>
  <c r="F2464" i="1"/>
  <c r="G2464" i="1"/>
  <c r="J2464" i="1"/>
  <c r="A2463" i="1"/>
  <c r="C2463" i="1"/>
  <c r="D2463" i="1"/>
  <c r="F2463" i="1"/>
  <c r="G2463" i="1"/>
  <c r="H2463" i="1"/>
  <c r="J2463" i="1"/>
  <c r="A2462" i="1"/>
  <c r="C2462" i="1"/>
  <c r="D2462" i="1"/>
  <c r="F2462" i="1"/>
  <c r="G2462" i="1"/>
  <c r="H2462" i="1"/>
  <c r="J2462" i="1"/>
  <c r="A2461" i="1"/>
  <c r="C2461" i="1"/>
  <c r="D2461" i="1"/>
  <c r="F2461" i="1"/>
  <c r="G2461" i="1"/>
  <c r="J2461" i="1"/>
  <c r="A2460" i="1"/>
  <c r="C2460" i="1"/>
  <c r="D2460" i="1"/>
  <c r="F2460" i="1"/>
  <c r="G2460" i="1"/>
  <c r="J2460" i="1"/>
  <c r="A2459" i="1"/>
  <c r="D2459" i="1"/>
  <c r="F2459" i="1"/>
  <c r="G2459" i="1"/>
  <c r="H2459" i="1"/>
  <c r="J2459" i="1"/>
  <c r="A2458" i="1"/>
  <c r="C2458" i="1"/>
  <c r="D2458" i="1"/>
  <c r="E2458" i="1"/>
  <c r="F2458" i="1"/>
  <c r="G2458" i="1"/>
  <c r="J2458" i="1"/>
  <c r="A2457" i="1"/>
  <c r="C2457" i="1"/>
  <c r="D2457" i="1"/>
  <c r="F2457" i="1"/>
  <c r="G2457" i="1"/>
  <c r="J2457" i="1"/>
  <c r="A2456" i="1"/>
  <c r="C2456" i="1"/>
  <c r="D2456" i="1"/>
  <c r="F2456" i="1"/>
  <c r="G2456" i="1"/>
  <c r="J2456" i="1"/>
  <c r="A2455" i="1"/>
  <c r="C2455" i="1"/>
  <c r="D2455" i="1"/>
  <c r="F2455" i="1"/>
  <c r="G2455" i="1"/>
  <c r="J2455" i="1"/>
  <c r="A2454" i="1"/>
  <c r="C2454" i="1"/>
  <c r="D2454" i="1"/>
  <c r="E2454" i="1"/>
  <c r="F2454" i="1"/>
  <c r="G2454" i="1"/>
  <c r="J2454" i="1"/>
  <c r="A2453" i="1"/>
  <c r="C2453" i="1"/>
  <c r="D2453" i="1"/>
  <c r="F2453" i="1"/>
  <c r="G2453" i="1"/>
  <c r="J2453" i="1"/>
  <c r="A2452" i="1"/>
  <c r="C2452" i="1"/>
  <c r="D2452" i="1"/>
  <c r="F2452" i="1"/>
  <c r="G2452" i="1"/>
  <c r="J2452" i="1"/>
  <c r="A2451" i="1"/>
  <c r="D2451" i="1"/>
  <c r="E2451" i="1"/>
  <c r="F2451" i="1"/>
  <c r="G2451" i="1"/>
  <c r="J2451" i="1"/>
  <c r="A2450" i="1"/>
  <c r="C2450" i="1"/>
  <c r="D2450" i="1"/>
  <c r="F2450" i="1"/>
  <c r="G2450" i="1"/>
  <c r="J2450" i="1"/>
  <c r="A2449" i="1"/>
  <c r="C2449" i="1"/>
  <c r="D2449" i="1"/>
  <c r="F2449" i="1"/>
  <c r="G2449" i="1"/>
  <c r="J2449" i="1"/>
  <c r="A2448" i="1"/>
  <c r="D2448" i="1"/>
  <c r="F2448" i="1"/>
  <c r="G2448" i="1"/>
  <c r="J2448" i="1"/>
  <c r="A2447" i="1"/>
  <c r="E2447" i="1"/>
  <c r="F2447" i="1"/>
  <c r="G2447" i="1"/>
  <c r="J2447" i="1"/>
  <c r="A2446" i="1"/>
  <c r="D2446" i="1"/>
  <c r="E2446" i="1"/>
  <c r="F2446" i="1"/>
  <c r="G2446" i="1"/>
  <c r="J2446" i="1"/>
  <c r="A2444" i="1"/>
  <c r="C2444" i="1"/>
  <c r="D2444" i="1"/>
  <c r="F2444" i="1"/>
  <c r="G2444" i="1"/>
  <c r="J2444" i="1"/>
  <c r="A2445" i="1"/>
  <c r="E2445" i="1"/>
  <c r="F2445" i="1"/>
  <c r="G2445" i="1"/>
  <c r="J2445" i="1"/>
  <c r="A2443" i="1"/>
  <c r="C2443" i="1"/>
  <c r="D2443" i="1"/>
  <c r="F2443" i="1"/>
  <c r="G2443" i="1"/>
  <c r="J2443" i="1"/>
  <c r="A2442" i="1"/>
  <c r="C2442" i="1"/>
  <c r="D2442" i="1"/>
  <c r="F2442" i="1"/>
  <c r="G2442" i="1"/>
  <c r="J2442" i="1"/>
  <c r="A2441" i="1"/>
  <c r="D2441" i="1"/>
  <c r="F2441" i="1"/>
  <c r="G2441" i="1"/>
  <c r="J2441" i="1"/>
  <c r="A2440" i="1"/>
  <c r="D2440" i="1"/>
  <c r="F2440" i="1"/>
  <c r="G2440" i="1"/>
  <c r="J2440" i="1"/>
  <c r="A2439" i="1"/>
  <c r="C2439" i="1"/>
  <c r="D2439" i="1"/>
  <c r="F2439" i="1"/>
  <c r="G2439" i="1"/>
  <c r="J2439" i="1"/>
  <c r="A2438" i="1"/>
  <c r="C2438" i="1"/>
  <c r="D2438" i="1"/>
  <c r="F2438" i="1"/>
  <c r="G2438" i="1"/>
  <c r="J2438" i="1"/>
  <c r="A2436" i="1"/>
  <c r="C2436" i="1"/>
  <c r="D2436" i="1"/>
  <c r="E2436" i="1"/>
  <c r="F2436" i="1"/>
  <c r="G2436" i="1"/>
  <c r="J2436" i="1"/>
  <c r="A2437" i="1"/>
  <c r="D2437" i="1"/>
  <c r="E2437" i="1"/>
  <c r="F2437" i="1"/>
  <c r="G2437" i="1"/>
  <c r="J2437" i="1"/>
  <c r="A2435" i="1"/>
  <c r="C2435" i="1"/>
  <c r="E2435" i="1"/>
  <c r="F2435" i="1"/>
  <c r="G2435" i="1"/>
  <c r="J2435" i="1"/>
  <c r="A2434" i="1"/>
  <c r="C2434" i="1"/>
  <c r="D2434" i="1"/>
  <c r="F2434" i="1"/>
  <c r="G2434" i="1"/>
  <c r="J2434" i="1"/>
  <c r="A2433" i="1"/>
  <c r="C2433" i="1"/>
  <c r="D2433" i="1"/>
  <c r="E2433" i="1"/>
  <c r="F2433" i="1"/>
  <c r="G2433" i="1"/>
  <c r="J2433" i="1"/>
  <c r="A2432" i="1"/>
  <c r="C2432" i="1"/>
  <c r="D2432" i="1"/>
  <c r="F2432" i="1"/>
  <c r="G2432" i="1"/>
  <c r="J2432" i="1"/>
  <c r="A2429" i="1"/>
  <c r="C2429" i="1"/>
  <c r="D2429" i="1"/>
  <c r="E2429" i="1"/>
  <c r="F2429" i="1"/>
  <c r="G2429" i="1"/>
  <c r="J2429" i="1"/>
  <c r="A2431" i="1"/>
  <c r="C2431" i="1"/>
  <c r="D2431" i="1"/>
  <c r="F2431" i="1"/>
  <c r="G2431" i="1"/>
  <c r="J2431" i="1"/>
  <c r="A2430" i="1"/>
  <c r="C2430" i="1"/>
  <c r="D2430" i="1"/>
  <c r="F2430" i="1"/>
  <c r="G2430" i="1"/>
  <c r="J2430" i="1"/>
  <c r="A2428" i="1"/>
  <c r="C2428" i="1"/>
  <c r="D2428" i="1"/>
  <c r="F2428" i="1"/>
  <c r="G2428" i="1"/>
  <c r="J2428" i="1"/>
  <c r="A2427" i="1"/>
  <c r="C2427" i="1"/>
  <c r="D2427" i="1"/>
  <c r="F2427" i="1"/>
  <c r="G2427" i="1"/>
  <c r="J2427" i="1"/>
  <c r="A2426" i="1"/>
  <c r="D2426" i="1"/>
  <c r="F2426" i="1"/>
  <c r="G2426" i="1"/>
  <c r="J2426" i="1"/>
  <c r="A2424" i="1"/>
  <c r="C2424" i="1"/>
  <c r="D2424" i="1"/>
  <c r="F2424" i="1"/>
  <c r="G2424" i="1"/>
  <c r="J2424" i="1"/>
  <c r="A2425" i="1"/>
  <c r="C2425" i="1"/>
  <c r="D2425" i="1"/>
  <c r="E2425" i="1"/>
  <c r="F2425" i="1"/>
  <c r="G2425" i="1"/>
  <c r="J2425" i="1"/>
  <c r="A2423" i="1"/>
  <c r="C2423" i="1"/>
  <c r="D2423" i="1"/>
  <c r="F2423" i="1"/>
  <c r="G2423" i="1"/>
  <c r="J2423" i="1"/>
  <c r="A2422" i="1"/>
  <c r="D2422" i="1"/>
  <c r="F2422" i="1"/>
  <c r="G2422" i="1"/>
  <c r="J2422" i="1"/>
  <c r="A2421" i="1"/>
  <c r="C2421" i="1"/>
  <c r="D2421" i="1"/>
  <c r="F2421" i="1"/>
  <c r="G2421" i="1"/>
  <c r="H2421" i="1"/>
  <c r="J2421" i="1"/>
  <c r="A2420" i="1"/>
  <c r="C2420" i="1"/>
  <c r="F2420" i="1"/>
  <c r="G2420" i="1"/>
  <c r="H2420" i="1"/>
  <c r="I2420" i="1"/>
  <c r="J2420" i="1"/>
  <c r="A2419" i="1"/>
  <c r="C2419" i="1"/>
  <c r="F2419" i="1"/>
  <c r="G2419" i="1"/>
  <c r="H2419" i="1"/>
  <c r="I2419" i="1"/>
  <c r="J2419" i="1"/>
  <c r="A2418" i="1"/>
  <c r="D2418" i="1"/>
  <c r="F2418" i="1"/>
  <c r="G2418" i="1"/>
  <c r="J2418" i="1"/>
  <c r="A2417" i="1"/>
  <c r="C2417" i="1"/>
  <c r="D2417" i="1"/>
  <c r="F2417" i="1"/>
  <c r="G2417" i="1"/>
  <c r="J2417" i="1"/>
  <c r="A2416" i="1"/>
  <c r="C2416" i="1"/>
  <c r="D2416" i="1"/>
  <c r="F2416" i="1"/>
  <c r="G2416" i="1"/>
  <c r="J2416" i="1"/>
  <c r="A2415" i="1"/>
  <c r="D2415" i="1"/>
  <c r="F2415" i="1"/>
  <c r="G2415" i="1"/>
  <c r="J2415" i="1"/>
  <c r="A2414" i="1"/>
  <c r="C2414" i="1"/>
  <c r="F2414" i="1"/>
  <c r="G2414" i="1"/>
  <c r="H2414" i="1"/>
  <c r="I2414" i="1"/>
  <c r="J2414" i="1"/>
  <c r="L2414" i="1"/>
  <c r="A2413" i="1"/>
  <c r="C2413" i="1"/>
  <c r="F2413" i="1"/>
  <c r="G2413" i="1"/>
  <c r="H2413" i="1"/>
  <c r="I2413" i="1"/>
  <c r="J2413" i="1"/>
  <c r="L2413" i="1"/>
  <c r="A2412" i="1"/>
  <c r="C2412" i="1"/>
  <c r="F2412" i="1"/>
  <c r="G2412" i="1"/>
  <c r="H2412" i="1"/>
  <c r="I2412" i="1"/>
  <c r="J2412" i="1"/>
  <c r="L2412" i="1"/>
  <c r="A2411" i="1"/>
  <c r="D2411" i="1"/>
  <c r="F2411" i="1"/>
  <c r="G2411" i="1"/>
  <c r="J2411" i="1"/>
  <c r="A2410" i="1"/>
  <c r="C2410" i="1"/>
  <c r="D2410" i="1"/>
  <c r="E2410" i="1"/>
  <c r="F2410" i="1"/>
  <c r="G2410" i="1"/>
  <c r="J2410" i="1"/>
  <c r="A2409" i="1"/>
  <c r="D2409" i="1"/>
  <c r="F2409" i="1"/>
  <c r="G2409" i="1"/>
  <c r="J2409" i="1"/>
  <c r="A2408" i="1"/>
  <c r="C2408" i="1"/>
  <c r="D2408" i="1"/>
  <c r="F2408" i="1"/>
  <c r="G2408" i="1"/>
  <c r="J2408" i="1"/>
  <c r="A2407" i="1"/>
  <c r="C2407" i="1"/>
  <c r="D2407" i="1"/>
  <c r="F2407" i="1"/>
  <c r="G2407" i="1"/>
  <c r="J2407" i="1"/>
  <c r="A2406" i="1"/>
  <c r="C2406" i="1"/>
  <c r="D2406" i="1"/>
  <c r="F2406" i="1"/>
  <c r="G2406" i="1"/>
  <c r="J2406" i="1"/>
  <c r="A2405" i="1"/>
  <c r="C2405" i="1"/>
  <c r="D2405" i="1"/>
  <c r="E2405" i="1"/>
  <c r="F2405" i="1"/>
  <c r="G2405" i="1"/>
  <c r="J2405" i="1"/>
  <c r="A2404" i="1"/>
  <c r="C2404" i="1"/>
  <c r="D2404" i="1"/>
  <c r="F2404" i="1"/>
  <c r="G2404" i="1"/>
  <c r="J2404" i="1"/>
  <c r="A2403" i="1"/>
  <c r="C2403" i="1"/>
  <c r="D2403" i="1"/>
  <c r="E2403" i="1"/>
  <c r="F2403" i="1"/>
  <c r="G2403" i="1"/>
  <c r="J2403" i="1"/>
  <c r="A2402" i="1"/>
  <c r="C2402" i="1"/>
  <c r="D2402" i="1"/>
  <c r="F2402" i="1"/>
  <c r="G2402" i="1"/>
  <c r="J2402" i="1"/>
  <c r="A2401" i="1"/>
  <c r="C2401" i="1"/>
  <c r="D2401" i="1"/>
  <c r="E2401" i="1"/>
  <c r="F2401" i="1"/>
  <c r="G2401" i="1"/>
  <c r="J2401" i="1"/>
  <c r="A2400" i="1"/>
  <c r="C2400" i="1"/>
  <c r="D2400" i="1"/>
  <c r="F2400" i="1"/>
  <c r="G2400" i="1"/>
  <c r="J2400" i="1"/>
  <c r="A2399" i="1"/>
  <c r="C2399" i="1"/>
  <c r="D2399" i="1"/>
  <c r="F2399" i="1"/>
  <c r="G2399" i="1"/>
  <c r="J2399" i="1"/>
  <c r="A2398" i="1"/>
  <c r="C2398" i="1"/>
  <c r="D2398" i="1"/>
  <c r="F2398" i="1"/>
  <c r="G2398" i="1"/>
  <c r="J2398" i="1"/>
  <c r="A2397" i="1"/>
  <c r="C2397" i="1"/>
  <c r="D2397" i="1"/>
  <c r="F2397" i="1"/>
  <c r="G2397" i="1"/>
  <c r="J2397" i="1"/>
  <c r="A2395" i="1"/>
  <c r="C2395" i="1"/>
  <c r="D2395" i="1"/>
  <c r="F2395" i="1"/>
  <c r="G2395" i="1"/>
  <c r="J2395" i="1"/>
  <c r="A2396" i="1"/>
  <c r="C2396" i="1"/>
  <c r="D2396" i="1"/>
  <c r="F2396" i="1"/>
  <c r="G2396" i="1"/>
  <c r="J2396" i="1"/>
  <c r="A2394" i="1"/>
  <c r="C2394" i="1"/>
  <c r="D2394" i="1"/>
  <c r="F2394" i="1"/>
  <c r="G2394" i="1"/>
  <c r="J2394" i="1"/>
  <c r="A2393" i="1"/>
  <c r="C2393" i="1"/>
  <c r="D2393" i="1"/>
  <c r="F2393" i="1"/>
  <c r="G2393" i="1"/>
  <c r="J2393" i="1"/>
  <c r="A2392" i="1"/>
  <c r="C2392" i="1"/>
  <c r="D2392" i="1"/>
  <c r="F2392" i="1"/>
  <c r="G2392" i="1"/>
  <c r="J2392" i="1"/>
  <c r="A2391" i="1"/>
  <c r="C2391" i="1"/>
  <c r="D2391" i="1"/>
  <c r="F2391" i="1"/>
  <c r="G2391" i="1"/>
  <c r="J2391" i="1"/>
  <c r="A2390" i="1"/>
  <c r="C2390" i="1"/>
  <c r="D2390" i="1"/>
  <c r="F2390" i="1"/>
  <c r="G2390" i="1"/>
  <c r="J2390" i="1"/>
  <c r="A2389" i="1"/>
  <c r="C2389" i="1"/>
  <c r="D2389" i="1"/>
  <c r="F2389" i="1"/>
  <c r="G2389" i="1"/>
  <c r="J2389" i="1"/>
  <c r="A2388" i="1"/>
  <c r="C2388" i="1"/>
  <c r="D2388" i="1"/>
  <c r="F2388" i="1"/>
  <c r="G2388" i="1"/>
  <c r="J2388" i="1"/>
  <c r="A2387" i="1"/>
  <c r="D2387" i="1"/>
  <c r="E2387" i="1"/>
  <c r="F2387" i="1"/>
  <c r="G2387" i="1"/>
  <c r="J2387" i="1"/>
  <c r="A2386" i="1"/>
  <c r="C2386" i="1"/>
  <c r="D2386" i="1"/>
  <c r="E2386" i="1"/>
  <c r="F2386" i="1"/>
  <c r="G2386" i="1"/>
  <c r="J2386" i="1"/>
  <c r="A2385" i="1"/>
  <c r="E2385" i="1"/>
  <c r="F2385" i="1"/>
  <c r="G2385" i="1"/>
  <c r="J2385" i="1"/>
  <c r="A2384" i="1"/>
  <c r="D2384" i="1"/>
  <c r="E2384" i="1"/>
  <c r="F2384" i="1"/>
  <c r="G2384" i="1"/>
  <c r="J2384" i="1"/>
  <c r="A2383" i="1"/>
  <c r="C2383" i="1"/>
  <c r="D2383" i="1"/>
  <c r="E2383" i="1"/>
  <c r="F2383" i="1"/>
  <c r="G2383" i="1"/>
  <c r="J2383" i="1"/>
  <c r="A2382" i="1"/>
  <c r="C2382" i="1"/>
  <c r="D2382" i="1"/>
  <c r="E2382" i="1"/>
  <c r="F2382" i="1"/>
  <c r="G2382" i="1"/>
  <c r="J2382" i="1"/>
  <c r="A2381" i="1"/>
  <c r="E2381" i="1"/>
  <c r="F2381" i="1"/>
  <c r="G2381" i="1"/>
  <c r="J2381" i="1"/>
  <c r="A2380" i="1"/>
  <c r="C2380" i="1"/>
  <c r="D2380" i="1"/>
  <c r="F2380" i="1"/>
  <c r="G2380" i="1"/>
  <c r="J2380" i="1"/>
  <c r="A2379" i="1"/>
  <c r="C2379" i="1"/>
  <c r="D2379" i="1"/>
  <c r="F2379" i="1"/>
  <c r="G2379" i="1"/>
  <c r="J2379" i="1"/>
  <c r="A2378" i="1"/>
  <c r="D2378" i="1"/>
  <c r="E2378" i="1"/>
  <c r="F2378" i="1"/>
  <c r="G2378" i="1"/>
  <c r="J2378" i="1"/>
  <c r="A2377" i="1"/>
  <c r="C2377" i="1"/>
  <c r="D2377" i="1"/>
  <c r="F2377" i="1"/>
  <c r="G2377" i="1"/>
  <c r="J2377" i="1"/>
  <c r="A2376" i="1"/>
  <c r="D2376" i="1"/>
  <c r="F2376" i="1"/>
  <c r="G2376" i="1"/>
  <c r="J2376" i="1"/>
  <c r="A2375" i="1"/>
  <c r="C2375" i="1"/>
  <c r="D2375" i="1"/>
  <c r="F2375" i="1"/>
  <c r="G2375" i="1"/>
  <c r="J2375" i="1"/>
  <c r="A2374" i="1"/>
  <c r="C2374" i="1"/>
  <c r="D2374" i="1"/>
  <c r="F2374" i="1"/>
  <c r="G2374" i="1"/>
  <c r="J2374" i="1"/>
  <c r="L2374" i="1"/>
  <c r="A2373" i="1"/>
  <c r="C2373" i="1"/>
  <c r="D2373" i="1"/>
  <c r="E2373" i="1"/>
  <c r="F2373" i="1"/>
  <c r="G2373" i="1"/>
  <c r="J2373" i="1"/>
  <c r="A2372" i="1"/>
  <c r="C2372" i="1"/>
  <c r="D2372" i="1"/>
  <c r="F2372" i="1"/>
  <c r="G2372" i="1"/>
  <c r="J2372" i="1"/>
  <c r="A2371" i="1"/>
  <c r="C2371" i="1"/>
  <c r="D2371" i="1"/>
  <c r="E2371" i="1"/>
  <c r="F2371" i="1"/>
  <c r="G2371" i="1"/>
  <c r="J2371" i="1"/>
  <c r="A2370" i="1"/>
  <c r="C2370" i="1"/>
  <c r="D2370" i="1"/>
  <c r="F2370" i="1"/>
  <c r="G2370" i="1"/>
  <c r="J2370" i="1"/>
  <c r="A2369" i="1"/>
  <c r="E2369" i="1"/>
  <c r="F2369" i="1"/>
  <c r="G2369" i="1"/>
  <c r="J2369" i="1"/>
  <c r="A2368" i="1"/>
  <c r="C2368" i="1"/>
  <c r="D2368" i="1"/>
  <c r="F2368" i="1"/>
  <c r="G2368" i="1"/>
  <c r="J2368" i="1"/>
  <c r="A2367" i="1"/>
  <c r="C2367" i="1"/>
  <c r="D2367" i="1"/>
  <c r="F2367" i="1"/>
  <c r="G2367" i="1"/>
  <c r="J2367" i="1"/>
  <c r="A2366" i="1"/>
  <c r="C2366" i="1"/>
  <c r="D2366" i="1"/>
  <c r="F2366" i="1"/>
  <c r="G2366" i="1"/>
  <c r="J2366" i="1"/>
  <c r="A2364" i="1"/>
  <c r="C2364" i="1"/>
  <c r="D2364" i="1"/>
  <c r="E2364" i="1"/>
  <c r="F2364" i="1"/>
  <c r="G2364" i="1"/>
  <c r="J2364" i="1"/>
  <c r="A2365" i="1"/>
  <c r="D2365" i="1"/>
  <c r="E2365" i="1"/>
  <c r="F2365" i="1"/>
  <c r="G2365" i="1"/>
  <c r="J2365" i="1"/>
  <c r="A2362" i="1"/>
  <c r="C2362" i="1"/>
  <c r="D2362" i="1"/>
  <c r="F2362" i="1"/>
  <c r="G2362" i="1"/>
  <c r="J2362" i="1"/>
  <c r="A2363" i="1"/>
  <c r="C2363" i="1"/>
  <c r="D2363" i="1"/>
  <c r="F2363" i="1"/>
  <c r="G2363" i="1"/>
  <c r="J2363" i="1"/>
  <c r="A2361" i="1"/>
  <c r="E2361" i="1"/>
  <c r="F2361" i="1"/>
  <c r="G2361" i="1"/>
  <c r="J2361" i="1"/>
  <c r="A2360" i="1"/>
  <c r="C2360" i="1"/>
  <c r="D2360" i="1"/>
  <c r="F2360" i="1"/>
  <c r="G2360" i="1"/>
  <c r="J2360" i="1"/>
  <c r="A2359" i="1"/>
  <c r="C2359" i="1"/>
  <c r="D2359" i="1"/>
  <c r="F2359" i="1"/>
  <c r="G2359" i="1"/>
  <c r="J2359" i="1"/>
  <c r="A2358" i="1"/>
  <c r="C2358" i="1"/>
  <c r="D2358" i="1"/>
  <c r="E2358" i="1"/>
  <c r="F2358" i="1"/>
  <c r="G2358" i="1"/>
  <c r="J2358" i="1"/>
  <c r="A2357" i="1"/>
  <c r="C2357" i="1"/>
  <c r="D2357" i="1"/>
  <c r="F2357" i="1"/>
  <c r="G2357" i="1"/>
  <c r="J2357" i="1"/>
  <c r="A2356" i="1"/>
  <c r="C2356" i="1"/>
  <c r="D2356" i="1"/>
  <c r="F2356" i="1"/>
  <c r="G2356" i="1"/>
  <c r="J2356" i="1"/>
  <c r="A2355" i="1"/>
  <c r="D2355" i="1"/>
  <c r="F2355" i="1"/>
  <c r="G2355" i="1"/>
  <c r="H2355" i="1"/>
  <c r="J2355" i="1"/>
  <c r="A2354" i="1"/>
  <c r="C2354" i="1"/>
  <c r="D2354" i="1"/>
  <c r="F2354" i="1"/>
  <c r="G2354" i="1"/>
  <c r="J2354" i="1"/>
  <c r="A2352" i="1"/>
  <c r="C2352" i="1"/>
  <c r="D2352" i="1"/>
  <c r="F2352" i="1"/>
  <c r="G2352" i="1"/>
  <c r="J2352" i="1"/>
  <c r="A2353" i="1"/>
  <c r="C2353" i="1"/>
  <c r="D2353" i="1"/>
  <c r="F2353" i="1"/>
  <c r="G2353" i="1"/>
  <c r="J2353" i="1"/>
  <c r="A2351" i="1"/>
  <c r="C2351" i="1"/>
  <c r="D2351" i="1"/>
  <c r="F2351" i="1"/>
  <c r="G2351" i="1"/>
  <c r="J2351" i="1"/>
  <c r="A2350" i="1"/>
  <c r="E2350" i="1"/>
  <c r="F2350" i="1"/>
  <c r="G2350" i="1"/>
  <c r="J2350" i="1"/>
  <c r="A2349" i="1"/>
  <c r="C2349" i="1"/>
  <c r="D2349" i="1"/>
  <c r="F2349" i="1"/>
  <c r="G2349" i="1"/>
  <c r="J2349" i="1"/>
  <c r="A2348" i="1"/>
  <c r="C2348" i="1"/>
  <c r="D2348" i="1"/>
  <c r="F2348" i="1"/>
  <c r="G2348" i="1"/>
  <c r="J2348" i="1"/>
  <c r="A2347" i="1"/>
  <c r="E2347" i="1"/>
  <c r="F2347" i="1"/>
  <c r="G2347" i="1"/>
  <c r="J2347" i="1"/>
  <c r="A2346" i="1"/>
  <c r="C2346" i="1"/>
  <c r="D2346" i="1"/>
  <c r="F2346" i="1"/>
  <c r="G2346" i="1"/>
  <c r="J2346" i="1"/>
  <c r="A2345" i="1"/>
  <c r="C2345" i="1"/>
  <c r="D2345" i="1"/>
  <c r="F2345" i="1"/>
  <c r="G2345" i="1"/>
  <c r="J2345" i="1"/>
  <c r="A2344" i="1"/>
  <c r="C2344" i="1"/>
  <c r="D2344" i="1"/>
  <c r="F2344" i="1"/>
  <c r="G2344" i="1"/>
  <c r="J2344" i="1"/>
  <c r="A2343" i="1"/>
  <c r="D2343" i="1"/>
  <c r="F2343" i="1"/>
  <c r="G2343" i="1"/>
  <c r="J2343" i="1"/>
  <c r="A2342" i="1"/>
  <c r="C2342" i="1"/>
  <c r="D2342" i="1"/>
  <c r="F2342" i="1"/>
  <c r="G2342" i="1"/>
  <c r="J2342" i="1"/>
  <c r="A2341" i="1"/>
  <c r="C2341" i="1"/>
  <c r="D2341" i="1"/>
  <c r="F2341" i="1"/>
  <c r="G2341" i="1"/>
  <c r="J2341" i="1"/>
  <c r="A2340" i="1"/>
  <c r="C2340" i="1"/>
  <c r="D2340" i="1"/>
  <c r="E2340" i="1"/>
  <c r="F2340" i="1"/>
  <c r="G2340" i="1"/>
  <c r="J2340" i="1"/>
  <c r="A2338" i="1"/>
  <c r="C2338" i="1"/>
  <c r="D2338" i="1"/>
  <c r="F2338" i="1"/>
  <c r="G2338" i="1"/>
  <c r="J2338" i="1"/>
  <c r="A2339" i="1"/>
  <c r="D2339" i="1"/>
  <c r="E2339" i="1"/>
  <c r="F2339" i="1"/>
  <c r="G2339" i="1"/>
  <c r="J2339" i="1"/>
  <c r="A2337" i="1"/>
  <c r="C2337" i="1"/>
  <c r="D2337" i="1"/>
  <c r="F2337" i="1"/>
  <c r="G2337" i="1"/>
  <c r="J2337" i="1"/>
  <c r="A2336" i="1"/>
  <c r="D2336" i="1"/>
  <c r="F2336" i="1"/>
  <c r="G2336" i="1"/>
  <c r="J2336" i="1"/>
  <c r="A2335" i="1"/>
  <c r="C2335" i="1"/>
  <c r="D2335" i="1"/>
  <c r="F2335" i="1"/>
  <c r="G2335" i="1"/>
  <c r="J2335" i="1"/>
  <c r="A2334" i="1"/>
  <c r="C2334" i="1"/>
  <c r="D2334" i="1"/>
  <c r="F2334" i="1"/>
  <c r="G2334" i="1"/>
  <c r="J2334" i="1"/>
  <c r="A2333" i="1"/>
  <c r="C2333" i="1"/>
  <c r="D2333" i="1"/>
  <c r="F2333" i="1"/>
  <c r="G2333" i="1"/>
  <c r="J2333" i="1"/>
  <c r="A2332" i="1"/>
  <c r="C2332" i="1"/>
  <c r="D2332" i="1"/>
  <c r="E2332" i="1"/>
  <c r="F2332" i="1"/>
  <c r="G2332" i="1"/>
  <c r="J2332" i="1"/>
  <c r="A2331" i="1"/>
  <c r="C2331" i="1"/>
  <c r="D2331" i="1"/>
  <c r="F2331" i="1"/>
  <c r="G2331" i="1"/>
  <c r="J2331" i="1"/>
  <c r="A2330" i="1"/>
  <c r="C2330" i="1"/>
  <c r="D2330" i="1"/>
  <c r="F2330" i="1"/>
  <c r="G2330" i="1"/>
  <c r="J2330" i="1"/>
  <c r="A2329" i="1"/>
  <c r="C2329" i="1"/>
  <c r="D2329" i="1"/>
  <c r="F2329" i="1"/>
  <c r="G2329" i="1"/>
  <c r="J2329" i="1"/>
  <c r="A2328" i="1"/>
  <c r="C2328" i="1"/>
  <c r="D2328" i="1"/>
  <c r="F2328" i="1"/>
  <c r="G2328" i="1"/>
  <c r="J2328" i="1"/>
  <c r="A2327" i="1"/>
  <c r="C2327" i="1"/>
  <c r="D2327" i="1"/>
  <c r="E2327" i="1"/>
  <c r="F2327" i="1"/>
  <c r="G2327" i="1"/>
  <c r="J2327" i="1"/>
  <c r="A2326" i="1"/>
  <c r="C2326" i="1"/>
  <c r="D2326" i="1"/>
  <c r="F2326" i="1"/>
  <c r="G2326" i="1"/>
  <c r="J2326" i="1"/>
  <c r="A2325" i="1"/>
  <c r="C2325" i="1"/>
  <c r="D2325" i="1"/>
  <c r="F2325" i="1"/>
  <c r="G2325" i="1"/>
  <c r="J2325" i="1"/>
  <c r="A2324" i="1"/>
  <c r="C2324" i="1"/>
  <c r="D2324" i="1"/>
  <c r="F2324" i="1"/>
  <c r="G2324" i="1"/>
  <c r="J2324" i="1"/>
  <c r="A2323" i="1"/>
  <c r="C2323" i="1"/>
  <c r="E2323" i="1"/>
  <c r="F2323" i="1"/>
  <c r="G2323" i="1"/>
  <c r="J2323" i="1"/>
  <c r="A2322" i="1"/>
  <c r="D2322" i="1"/>
  <c r="F2322" i="1"/>
  <c r="G2322" i="1"/>
  <c r="J2322" i="1"/>
  <c r="A2321" i="1"/>
  <c r="C2321" i="1"/>
  <c r="D2321" i="1"/>
  <c r="E2321" i="1"/>
  <c r="F2321" i="1"/>
  <c r="G2321" i="1"/>
  <c r="J2321" i="1"/>
  <c r="A2320" i="1"/>
  <c r="C2320" i="1"/>
  <c r="D2320" i="1"/>
  <c r="F2320" i="1"/>
  <c r="G2320" i="1"/>
  <c r="J2320" i="1"/>
  <c r="A2319" i="1"/>
  <c r="C2319" i="1"/>
  <c r="D2319" i="1"/>
  <c r="F2319" i="1"/>
  <c r="G2319" i="1"/>
  <c r="J2319" i="1"/>
  <c r="A2318" i="1"/>
  <c r="C2318" i="1"/>
  <c r="D2318" i="1"/>
  <c r="F2318" i="1"/>
  <c r="G2318" i="1"/>
  <c r="J2318" i="1"/>
  <c r="A2317" i="1"/>
  <c r="C2317" i="1"/>
  <c r="D2317" i="1"/>
  <c r="F2317" i="1"/>
  <c r="G2317" i="1"/>
  <c r="J2317" i="1"/>
  <c r="A2316" i="1"/>
  <c r="C2316" i="1"/>
  <c r="D2316" i="1"/>
  <c r="F2316" i="1"/>
  <c r="G2316" i="1"/>
  <c r="J2316" i="1"/>
  <c r="A2314" i="1"/>
  <c r="C2314" i="1"/>
  <c r="D2314" i="1"/>
  <c r="F2314" i="1"/>
  <c r="G2314" i="1"/>
  <c r="J2314" i="1"/>
  <c r="L2314" i="1"/>
  <c r="A2315" i="1"/>
  <c r="C2315" i="1"/>
  <c r="D2315" i="1"/>
  <c r="F2315" i="1"/>
  <c r="G2315" i="1"/>
  <c r="J2315" i="1"/>
  <c r="A2313" i="1"/>
  <c r="C2313" i="1"/>
  <c r="D2313" i="1"/>
  <c r="F2313" i="1"/>
  <c r="G2313" i="1"/>
  <c r="J2313" i="1"/>
  <c r="L2313" i="1"/>
  <c r="A2312" i="1"/>
  <c r="C2312" i="1"/>
  <c r="D2312" i="1"/>
  <c r="F2312" i="1"/>
  <c r="G2312" i="1"/>
  <c r="J2312" i="1"/>
  <c r="A2311" i="1"/>
  <c r="C2311" i="1"/>
  <c r="D2311" i="1"/>
  <c r="E2311" i="1"/>
  <c r="F2311" i="1"/>
  <c r="G2311" i="1"/>
  <c r="J2311" i="1"/>
  <c r="A2310" i="1"/>
  <c r="D2310" i="1"/>
  <c r="F2310" i="1"/>
  <c r="G2310" i="1"/>
  <c r="J2310" i="1"/>
  <c r="A2309" i="1"/>
  <c r="C2309" i="1"/>
  <c r="D2309" i="1"/>
  <c r="F2309" i="1"/>
  <c r="G2309" i="1"/>
  <c r="J2309" i="1"/>
  <c r="A2308" i="1"/>
  <c r="C2308" i="1"/>
  <c r="D2308" i="1"/>
  <c r="F2308" i="1"/>
  <c r="G2308" i="1"/>
  <c r="J2308" i="1"/>
  <c r="A2307" i="1"/>
  <c r="C2307" i="1"/>
  <c r="D2307" i="1"/>
  <c r="E2307" i="1"/>
  <c r="F2307" i="1"/>
  <c r="G2307" i="1"/>
  <c r="J2307" i="1"/>
  <c r="A2306" i="1"/>
  <c r="C2306" i="1"/>
  <c r="D2306" i="1"/>
  <c r="E2306" i="1"/>
  <c r="F2306" i="1"/>
  <c r="G2306" i="1"/>
  <c r="J2306" i="1"/>
  <c r="A2305" i="1"/>
  <c r="C2305" i="1"/>
  <c r="D2305" i="1"/>
  <c r="E2305" i="1"/>
  <c r="F2305" i="1"/>
  <c r="G2305" i="1"/>
  <c r="J2305" i="1"/>
  <c r="A2304" i="1"/>
  <c r="C2304" i="1"/>
  <c r="D2304" i="1"/>
  <c r="E2304" i="1"/>
  <c r="F2304" i="1"/>
  <c r="G2304" i="1"/>
  <c r="J2304" i="1"/>
  <c r="A2303" i="1"/>
  <c r="C2303" i="1"/>
  <c r="D2303" i="1"/>
  <c r="E2303" i="1"/>
  <c r="F2303" i="1"/>
  <c r="G2303" i="1"/>
  <c r="J2303" i="1"/>
  <c r="A2302" i="1"/>
  <c r="C2302" i="1"/>
  <c r="D2302" i="1"/>
  <c r="E2302" i="1"/>
  <c r="F2302" i="1"/>
  <c r="G2302" i="1"/>
  <c r="J2302" i="1"/>
  <c r="A2301" i="1"/>
  <c r="C2301" i="1"/>
  <c r="D2301" i="1"/>
  <c r="E2301" i="1"/>
  <c r="F2301" i="1"/>
  <c r="G2301" i="1"/>
  <c r="J2301" i="1"/>
  <c r="A2300" i="1"/>
  <c r="C2300" i="1"/>
  <c r="D2300" i="1"/>
  <c r="E2300" i="1"/>
  <c r="F2300" i="1"/>
  <c r="G2300" i="1"/>
  <c r="J2300" i="1"/>
  <c r="A2298" i="1"/>
  <c r="C2298" i="1"/>
  <c r="D2298" i="1"/>
  <c r="F2298" i="1"/>
  <c r="G2298" i="1"/>
  <c r="J2298" i="1"/>
  <c r="A2299" i="1"/>
  <c r="C2299" i="1"/>
  <c r="D2299" i="1"/>
  <c r="E2299" i="1"/>
  <c r="F2299" i="1"/>
  <c r="G2299" i="1"/>
  <c r="J2299" i="1"/>
  <c r="A2297" i="1"/>
  <c r="C2297" i="1"/>
  <c r="D2297" i="1"/>
  <c r="E2297" i="1"/>
  <c r="F2297" i="1"/>
  <c r="G2297" i="1"/>
  <c r="J2297" i="1"/>
  <c r="A2296" i="1"/>
  <c r="C2296" i="1"/>
  <c r="D2296" i="1"/>
  <c r="E2296" i="1"/>
  <c r="F2296" i="1"/>
  <c r="G2296" i="1"/>
  <c r="J2296" i="1"/>
  <c r="A2295" i="1"/>
  <c r="C2295" i="1"/>
  <c r="D2295" i="1"/>
  <c r="F2295" i="1"/>
  <c r="G2295" i="1"/>
  <c r="J2295" i="1"/>
  <c r="A2294" i="1"/>
  <c r="C2294" i="1"/>
  <c r="D2294" i="1"/>
  <c r="F2294" i="1"/>
  <c r="G2294" i="1"/>
  <c r="J2294" i="1"/>
  <c r="A2293" i="1"/>
  <c r="C2293" i="1"/>
  <c r="D2293" i="1"/>
  <c r="E2293" i="1"/>
  <c r="F2293" i="1"/>
  <c r="G2293" i="1"/>
  <c r="J2293" i="1"/>
  <c r="A2292" i="1"/>
  <c r="C2292" i="1"/>
  <c r="D2292" i="1"/>
  <c r="E2292" i="1"/>
  <c r="F2292" i="1"/>
  <c r="G2292" i="1"/>
  <c r="J2292" i="1"/>
  <c r="A2291" i="1"/>
  <c r="C2291" i="1"/>
  <c r="D2291" i="1"/>
  <c r="F2291" i="1"/>
  <c r="G2291" i="1"/>
  <c r="J2291" i="1"/>
  <c r="A2290" i="1"/>
  <c r="D2290" i="1"/>
  <c r="F2290" i="1"/>
  <c r="G2290" i="1"/>
  <c r="J2290" i="1"/>
  <c r="A2289" i="1"/>
  <c r="C2289" i="1"/>
  <c r="D2289" i="1"/>
  <c r="F2289" i="1"/>
  <c r="G2289" i="1"/>
  <c r="J2289" i="1"/>
  <c r="A2288" i="1"/>
  <c r="C2288" i="1"/>
  <c r="D2288" i="1"/>
  <c r="E2288" i="1"/>
  <c r="F2288" i="1"/>
  <c r="G2288" i="1"/>
  <c r="J2288" i="1"/>
  <c r="A2287" i="1"/>
  <c r="C2287" i="1"/>
  <c r="D2287" i="1"/>
  <c r="E2287" i="1"/>
  <c r="F2287" i="1"/>
  <c r="G2287" i="1"/>
  <c r="J2287" i="1"/>
  <c r="A2286" i="1"/>
  <c r="C2286" i="1"/>
  <c r="E2286" i="1"/>
  <c r="F2286" i="1"/>
  <c r="G2286" i="1"/>
  <c r="J2286" i="1"/>
  <c r="A2285" i="1"/>
  <c r="C2285" i="1"/>
  <c r="D2285" i="1"/>
  <c r="F2285" i="1"/>
  <c r="G2285" i="1"/>
  <c r="J2285" i="1"/>
  <c r="A2284" i="1"/>
  <c r="C2284" i="1"/>
  <c r="D2284" i="1"/>
  <c r="F2284" i="1"/>
  <c r="G2284" i="1"/>
  <c r="J2284" i="1"/>
  <c r="A2283" i="1"/>
  <c r="C2283" i="1"/>
  <c r="D2283" i="1"/>
  <c r="F2283" i="1"/>
  <c r="G2283" i="1"/>
  <c r="J2283" i="1"/>
  <c r="A2282" i="1"/>
  <c r="C2282" i="1"/>
  <c r="D2282" i="1"/>
  <c r="F2282" i="1"/>
  <c r="G2282" i="1"/>
  <c r="J2282" i="1"/>
  <c r="A2281" i="1"/>
  <c r="C2281" i="1"/>
  <c r="D2281" i="1"/>
  <c r="F2281" i="1"/>
  <c r="G2281" i="1"/>
  <c r="J2281" i="1"/>
  <c r="A2280" i="1"/>
  <c r="C2280" i="1"/>
  <c r="D2280" i="1"/>
  <c r="F2280" i="1"/>
  <c r="G2280" i="1"/>
  <c r="J2280" i="1"/>
  <c r="A2279" i="1"/>
  <c r="C2279" i="1"/>
  <c r="D2279" i="1"/>
  <c r="F2279" i="1"/>
  <c r="G2279" i="1"/>
  <c r="J2279" i="1"/>
  <c r="A2278" i="1"/>
  <c r="C2278" i="1"/>
  <c r="D2278" i="1"/>
  <c r="F2278" i="1"/>
  <c r="G2278" i="1"/>
  <c r="J2278" i="1"/>
  <c r="A2277" i="1"/>
  <c r="C2277" i="1"/>
  <c r="D2277" i="1"/>
  <c r="F2277" i="1"/>
  <c r="G2277" i="1"/>
  <c r="H2277" i="1"/>
  <c r="I2277" i="1"/>
  <c r="J2277" i="1"/>
  <c r="A2276" i="1"/>
  <c r="C2276" i="1"/>
  <c r="D2276" i="1"/>
  <c r="F2276" i="1"/>
  <c r="G2276" i="1"/>
  <c r="H2276" i="1"/>
  <c r="I2276" i="1"/>
  <c r="J2276" i="1"/>
  <c r="A2275" i="1"/>
  <c r="C2275" i="1"/>
  <c r="D2275" i="1"/>
  <c r="F2275" i="1"/>
  <c r="G2275" i="1"/>
  <c r="H2275" i="1"/>
  <c r="I2275" i="1"/>
  <c r="J2275" i="1"/>
  <c r="A2274" i="1"/>
  <c r="C2274" i="1"/>
  <c r="D2274" i="1"/>
  <c r="F2274" i="1"/>
  <c r="G2274" i="1"/>
  <c r="H2274" i="1"/>
  <c r="I2274" i="1"/>
  <c r="J2274" i="1"/>
  <c r="A2273" i="1"/>
  <c r="E2273" i="1"/>
  <c r="F2273" i="1"/>
  <c r="G2273" i="1"/>
  <c r="J2273" i="1"/>
  <c r="A2272" i="1"/>
  <c r="C2272" i="1"/>
  <c r="D2272" i="1"/>
  <c r="F2272" i="1"/>
  <c r="G2272" i="1"/>
  <c r="H2272" i="1"/>
  <c r="I2272" i="1"/>
  <c r="J2272" i="1"/>
  <c r="A2271" i="1"/>
  <c r="C2271" i="1"/>
  <c r="D2271" i="1"/>
  <c r="F2271" i="1"/>
  <c r="G2271" i="1"/>
  <c r="H2271" i="1"/>
  <c r="I2271" i="1"/>
  <c r="J2271" i="1"/>
  <c r="A2270" i="1"/>
  <c r="C2270" i="1"/>
  <c r="D2270" i="1"/>
  <c r="F2270" i="1"/>
  <c r="G2270" i="1"/>
  <c r="H2270" i="1"/>
  <c r="I2270" i="1"/>
  <c r="J2270" i="1"/>
  <c r="A2268" i="1"/>
  <c r="C2268" i="1"/>
  <c r="D2268" i="1"/>
  <c r="F2268" i="1"/>
  <c r="G2268" i="1"/>
  <c r="H2268" i="1"/>
  <c r="I2268" i="1"/>
  <c r="J2268" i="1"/>
  <c r="A2269" i="1"/>
  <c r="C2269" i="1"/>
  <c r="D2269" i="1"/>
  <c r="E2269" i="1"/>
  <c r="F2269" i="1"/>
  <c r="G2269" i="1"/>
  <c r="H2269" i="1"/>
  <c r="J2269" i="1"/>
  <c r="A2267" i="1"/>
  <c r="D2267" i="1"/>
  <c r="F2267" i="1"/>
  <c r="G2267" i="1"/>
  <c r="J2267" i="1"/>
  <c r="A2266" i="1"/>
  <c r="C2266" i="1"/>
  <c r="D2266" i="1"/>
  <c r="F2266" i="1"/>
  <c r="G2266" i="1"/>
  <c r="H2266" i="1"/>
  <c r="I2266" i="1"/>
  <c r="J2266" i="1"/>
  <c r="A2265" i="1"/>
  <c r="C2265" i="1"/>
  <c r="D2265" i="1"/>
  <c r="F2265" i="1"/>
  <c r="G2265" i="1"/>
  <c r="H2265" i="1"/>
  <c r="I2265" i="1"/>
  <c r="J2265" i="1"/>
  <c r="A2264" i="1"/>
  <c r="D2264" i="1"/>
  <c r="F2264" i="1"/>
  <c r="G2264" i="1"/>
  <c r="J2264" i="1"/>
  <c r="A2263" i="1"/>
  <c r="C2263" i="1"/>
  <c r="D2263" i="1"/>
  <c r="F2263" i="1"/>
  <c r="G2263" i="1"/>
  <c r="H2263" i="1"/>
  <c r="I2263" i="1"/>
  <c r="J2263" i="1"/>
  <c r="A2262" i="1"/>
  <c r="C2262" i="1"/>
  <c r="D2262" i="1"/>
  <c r="F2262" i="1"/>
  <c r="G2262" i="1"/>
  <c r="H2262" i="1"/>
  <c r="I2262" i="1"/>
  <c r="J2262" i="1"/>
  <c r="A2261" i="1"/>
  <c r="C2261" i="1"/>
  <c r="D2261" i="1"/>
  <c r="F2261" i="1"/>
  <c r="G2261" i="1"/>
  <c r="H2261" i="1"/>
  <c r="I2261" i="1"/>
  <c r="J2261" i="1"/>
  <c r="A2260" i="1"/>
  <c r="C2260" i="1"/>
  <c r="D2260" i="1"/>
  <c r="F2260" i="1"/>
  <c r="G2260" i="1"/>
  <c r="H2260" i="1"/>
  <c r="I2260" i="1"/>
  <c r="J2260" i="1"/>
  <c r="A2259" i="1"/>
  <c r="D2259" i="1"/>
  <c r="F2259" i="1"/>
  <c r="G2259" i="1"/>
  <c r="J2259" i="1"/>
  <c r="A2258" i="1"/>
  <c r="C2258" i="1"/>
  <c r="D2258" i="1"/>
  <c r="F2258" i="1"/>
  <c r="G2258" i="1"/>
  <c r="J2258" i="1"/>
  <c r="A2257" i="1"/>
  <c r="C2257" i="1"/>
  <c r="D2257" i="1"/>
  <c r="F2257" i="1"/>
  <c r="G2257" i="1"/>
  <c r="J2257" i="1"/>
  <c r="L2257" i="1"/>
  <c r="A2256" i="1"/>
  <c r="C2256" i="1"/>
  <c r="D2256" i="1"/>
  <c r="F2256" i="1"/>
  <c r="G2256" i="1"/>
  <c r="J2256" i="1"/>
  <c r="A2255" i="1"/>
  <c r="C2255" i="1"/>
  <c r="D2255" i="1"/>
  <c r="F2255" i="1"/>
  <c r="G2255" i="1"/>
  <c r="J2255" i="1"/>
  <c r="L2255" i="1"/>
  <c r="A2254" i="1"/>
  <c r="C2254" i="1"/>
  <c r="D2254" i="1"/>
  <c r="F2254" i="1"/>
  <c r="G2254" i="1"/>
  <c r="J2254" i="1"/>
  <c r="A2252" i="1"/>
  <c r="C2252" i="1"/>
  <c r="D2252" i="1"/>
  <c r="F2252" i="1"/>
  <c r="G2252" i="1"/>
  <c r="J2252" i="1"/>
  <c r="L2252" i="1"/>
  <c r="A2253" i="1"/>
  <c r="C2253" i="1"/>
  <c r="D2253" i="1"/>
  <c r="E2253" i="1"/>
  <c r="F2253" i="1"/>
  <c r="G2253" i="1"/>
  <c r="J2253" i="1"/>
  <c r="A2251" i="1"/>
  <c r="C2251" i="1"/>
  <c r="D2251" i="1"/>
  <c r="F2251" i="1"/>
  <c r="G2251" i="1"/>
  <c r="J2251" i="1"/>
  <c r="A2250" i="1"/>
  <c r="C2250" i="1"/>
  <c r="D2250" i="1"/>
  <c r="F2250" i="1"/>
  <c r="G2250" i="1"/>
  <c r="H2250" i="1"/>
  <c r="I2250" i="1"/>
  <c r="J2250" i="1"/>
  <c r="A2249" i="1"/>
  <c r="C2249" i="1"/>
  <c r="D2249" i="1"/>
  <c r="F2249" i="1"/>
  <c r="G2249" i="1"/>
  <c r="H2249" i="1"/>
  <c r="I2249" i="1"/>
  <c r="J2249" i="1"/>
  <c r="A2248" i="1"/>
  <c r="C2248" i="1"/>
  <c r="D2248" i="1"/>
  <c r="F2248" i="1"/>
  <c r="G2248" i="1"/>
  <c r="J2248" i="1"/>
  <c r="A2247" i="1"/>
  <c r="C2247" i="1"/>
  <c r="D2247" i="1"/>
  <c r="F2247" i="1"/>
  <c r="G2247" i="1"/>
  <c r="H2247" i="1"/>
  <c r="I2247" i="1"/>
  <c r="J2247" i="1"/>
  <c r="A2246" i="1"/>
  <c r="C2246" i="1"/>
  <c r="D2246" i="1"/>
  <c r="F2246" i="1"/>
  <c r="G2246" i="1"/>
  <c r="J2246" i="1"/>
  <c r="L2246" i="1"/>
  <c r="A2245" i="1"/>
  <c r="C2245" i="1"/>
  <c r="D2245" i="1"/>
  <c r="F2245" i="1"/>
  <c r="G2245" i="1"/>
  <c r="H2245" i="1"/>
  <c r="I2245" i="1"/>
  <c r="J2245" i="1"/>
  <c r="A2244" i="1"/>
  <c r="C2244" i="1"/>
  <c r="D2244" i="1"/>
  <c r="F2244" i="1"/>
  <c r="G2244" i="1"/>
  <c r="J2244" i="1"/>
  <c r="A2243" i="1"/>
  <c r="C2243" i="1"/>
  <c r="D2243" i="1"/>
  <c r="F2243" i="1"/>
  <c r="G2243" i="1"/>
  <c r="H2243" i="1"/>
  <c r="I2243" i="1"/>
  <c r="J2243" i="1"/>
  <c r="A2242" i="1"/>
  <c r="C2242" i="1"/>
  <c r="D2242" i="1"/>
  <c r="F2242" i="1"/>
  <c r="G2242" i="1"/>
  <c r="J2242" i="1"/>
  <c r="L2242" i="1"/>
  <c r="A2241" i="1"/>
  <c r="C2241" i="1"/>
  <c r="D2241" i="1"/>
  <c r="F2241" i="1"/>
  <c r="G2241" i="1"/>
  <c r="H2241" i="1"/>
  <c r="I2241" i="1"/>
  <c r="J2241" i="1"/>
  <c r="A2240" i="1"/>
  <c r="C2240" i="1"/>
  <c r="D2240" i="1"/>
  <c r="F2240" i="1"/>
  <c r="G2240" i="1"/>
  <c r="H2240" i="1"/>
  <c r="I2240" i="1"/>
  <c r="J2240" i="1"/>
  <c r="A2239" i="1"/>
  <c r="C2239" i="1"/>
  <c r="D2239" i="1"/>
  <c r="F2239" i="1"/>
  <c r="G2239" i="1"/>
  <c r="J2239" i="1"/>
  <c r="A2238" i="1"/>
  <c r="C2238" i="1"/>
  <c r="D2238" i="1"/>
  <c r="F2238" i="1"/>
  <c r="G2238" i="1"/>
  <c r="H2238" i="1"/>
  <c r="I2238" i="1"/>
  <c r="J2238" i="1"/>
  <c r="A2237" i="1"/>
  <c r="C2237" i="1"/>
  <c r="D2237" i="1"/>
  <c r="F2237" i="1"/>
  <c r="G2237" i="1"/>
  <c r="J2237" i="1"/>
  <c r="A2236" i="1"/>
  <c r="C2236" i="1"/>
  <c r="D2236" i="1"/>
  <c r="F2236" i="1"/>
  <c r="G2236" i="1"/>
  <c r="J2236" i="1"/>
  <c r="A2235" i="1"/>
  <c r="C2235" i="1"/>
  <c r="D2235" i="1"/>
  <c r="F2235" i="1"/>
  <c r="G2235" i="1"/>
  <c r="H2235" i="1"/>
  <c r="I2235" i="1"/>
  <c r="J2235" i="1"/>
  <c r="A2234" i="1"/>
  <c r="C2234" i="1"/>
  <c r="D2234" i="1"/>
  <c r="F2234" i="1"/>
  <c r="G2234" i="1"/>
  <c r="H2234" i="1"/>
  <c r="I2234" i="1"/>
  <c r="J2234" i="1"/>
  <c r="A2233" i="1"/>
  <c r="C2233" i="1"/>
  <c r="D2233" i="1"/>
  <c r="F2233" i="1"/>
  <c r="G2233" i="1"/>
  <c r="H2233" i="1"/>
  <c r="I2233" i="1"/>
  <c r="J2233" i="1"/>
  <c r="A2232" i="1"/>
  <c r="C2232" i="1"/>
  <c r="D2232" i="1"/>
  <c r="F2232" i="1"/>
  <c r="G2232" i="1"/>
  <c r="J2232" i="1"/>
  <c r="A2231" i="1"/>
  <c r="C2231" i="1"/>
  <c r="D2231" i="1"/>
  <c r="F2231" i="1"/>
  <c r="G2231" i="1"/>
  <c r="J2231" i="1"/>
  <c r="A2230" i="1"/>
  <c r="C2230" i="1"/>
  <c r="D2230" i="1"/>
  <c r="E2230" i="1"/>
  <c r="F2230" i="1"/>
  <c r="G2230" i="1"/>
  <c r="J2230" i="1"/>
  <c r="A2229" i="1"/>
  <c r="C2229" i="1"/>
  <c r="D2229" i="1"/>
  <c r="F2229" i="1"/>
  <c r="G2229" i="1"/>
  <c r="J2229" i="1"/>
  <c r="A2228" i="1"/>
  <c r="C2228" i="1"/>
  <c r="D2228" i="1"/>
  <c r="F2228" i="1"/>
  <c r="G2228" i="1"/>
  <c r="J2228" i="1"/>
  <c r="L2228" i="1"/>
  <c r="A2227" i="1"/>
  <c r="C2227" i="1"/>
  <c r="D2227" i="1"/>
  <c r="F2227" i="1"/>
  <c r="G2227" i="1"/>
  <c r="H2227" i="1"/>
  <c r="I2227" i="1"/>
  <c r="J2227" i="1"/>
  <c r="A2226" i="1"/>
  <c r="C2226" i="1"/>
  <c r="D2226" i="1"/>
  <c r="E2226" i="1"/>
  <c r="F2226" i="1"/>
  <c r="G2226" i="1"/>
  <c r="J2226" i="1"/>
  <c r="A2225" i="1"/>
  <c r="C2225" i="1"/>
  <c r="D2225" i="1"/>
  <c r="F2225" i="1"/>
  <c r="G2225" i="1"/>
  <c r="J2225" i="1"/>
  <c r="A2224" i="1"/>
  <c r="C2224" i="1"/>
  <c r="D2224" i="1"/>
  <c r="F2224" i="1"/>
  <c r="G2224" i="1"/>
  <c r="J2224" i="1"/>
  <c r="A2223" i="1"/>
  <c r="C2223" i="1"/>
  <c r="D2223" i="1"/>
  <c r="F2223" i="1"/>
  <c r="G2223" i="1"/>
  <c r="J2223" i="1"/>
  <c r="A2222" i="1"/>
  <c r="C2222" i="1"/>
  <c r="D2222" i="1"/>
  <c r="F2222" i="1"/>
  <c r="G2222" i="1"/>
  <c r="J2222" i="1"/>
  <c r="A2221" i="1"/>
  <c r="C2221" i="1"/>
  <c r="D2221" i="1"/>
  <c r="F2221" i="1"/>
  <c r="G2221" i="1"/>
  <c r="J2221" i="1"/>
  <c r="A2220" i="1"/>
  <c r="C2220" i="1"/>
  <c r="D2220" i="1"/>
  <c r="F2220" i="1"/>
  <c r="G2220" i="1"/>
  <c r="J2220" i="1"/>
  <c r="A2218" i="1"/>
  <c r="C2218" i="1"/>
  <c r="D2218" i="1"/>
  <c r="F2218" i="1"/>
  <c r="G2218" i="1"/>
  <c r="J2218" i="1"/>
  <c r="A2219" i="1"/>
  <c r="C2219" i="1"/>
  <c r="E2219" i="1"/>
  <c r="F2219" i="1"/>
  <c r="G2219" i="1"/>
  <c r="J2219" i="1"/>
  <c r="A2217" i="1"/>
  <c r="C2217" i="1"/>
  <c r="D2217" i="1"/>
  <c r="F2217" i="1"/>
  <c r="G2217" i="1"/>
  <c r="J2217" i="1"/>
  <c r="A2216" i="1"/>
  <c r="C2216" i="1"/>
  <c r="D2216" i="1"/>
  <c r="F2216" i="1"/>
  <c r="G2216" i="1"/>
  <c r="J2216" i="1"/>
  <c r="L2216" i="1"/>
  <c r="A2215" i="1"/>
  <c r="C2215" i="1"/>
  <c r="D2215" i="1"/>
  <c r="F2215" i="1"/>
  <c r="G2215" i="1"/>
  <c r="J2215" i="1"/>
  <c r="L2215" i="1"/>
  <c r="A2214" i="1"/>
  <c r="C2214" i="1"/>
  <c r="D2214" i="1"/>
  <c r="E2214" i="1"/>
  <c r="F2214" i="1"/>
  <c r="G2214" i="1"/>
  <c r="J2214" i="1"/>
  <c r="A2213" i="1"/>
  <c r="C2213" i="1"/>
  <c r="D2213" i="1"/>
  <c r="F2213" i="1"/>
  <c r="G2213" i="1"/>
  <c r="J2213" i="1"/>
  <c r="A2212" i="1"/>
  <c r="C2212" i="1"/>
  <c r="D2212" i="1"/>
  <c r="E2212" i="1"/>
  <c r="F2212" i="1"/>
  <c r="G2212" i="1"/>
  <c r="J2212" i="1"/>
  <c r="A2211" i="1"/>
  <c r="D2211" i="1"/>
  <c r="F2211" i="1"/>
  <c r="G2211" i="1"/>
  <c r="J2211" i="1"/>
  <c r="A2210" i="1"/>
  <c r="C2210" i="1"/>
  <c r="D2210" i="1"/>
  <c r="F2210" i="1"/>
  <c r="G2210" i="1"/>
  <c r="H2210" i="1"/>
  <c r="J2210" i="1"/>
  <c r="A2209" i="1"/>
  <c r="C2209" i="1"/>
  <c r="D2209" i="1"/>
  <c r="E2209" i="1"/>
  <c r="F2209" i="1"/>
  <c r="G2209" i="1"/>
  <c r="J2209" i="1"/>
  <c r="A2208" i="1"/>
  <c r="C2208" i="1"/>
  <c r="D2208" i="1"/>
  <c r="E2208" i="1"/>
  <c r="F2208" i="1"/>
  <c r="G2208" i="1"/>
  <c r="J2208" i="1"/>
  <c r="A2207" i="1"/>
  <c r="D2207" i="1"/>
  <c r="F2207" i="1"/>
  <c r="G2207" i="1"/>
  <c r="J2207" i="1"/>
  <c r="A2206" i="1"/>
  <c r="C2206" i="1"/>
  <c r="D2206" i="1"/>
  <c r="E2206" i="1"/>
  <c r="F2206" i="1"/>
  <c r="G2206" i="1"/>
  <c r="J2206" i="1"/>
  <c r="A2205" i="1"/>
  <c r="C2205" i="1"/>
  <c r="D2205" i="1"/>
  <c r="F2205" i="1"/>
  <c r="G2205" i="1"/>
  <c r="J2205" i="1"/>
  <c r="A2204" i="1"/>
  <c r="C2204" i="1"/>
  <c r="D2204" i="1"/>
  <c r="F2204" i="1"/>
  <c r="G2204" i="1"/>
  <c r="H2204" i="1"/>
  <c r="I2204" i="1"/>
  <c r="J2204" i="1"/>
  <c r="A2203" i="1"/>
  <c r="C2203" i="1"/>
  <c r="D2203" i="1"/>
  <c r="F2203" i="1"/>
  <c r="G2203" i="1"/>
  <c r="H2203" i="1"/>
  <c r="I2203" i="1"/>
  <c r="J2203" i="1"/>
  <c r="A2202" i="1"/>
  <c r="C2202" i="1"/>
  <c r="D2202" i="1"/>
  <c r="F2202" i="1"/>
  <c r="G2202" i="1"/>
  <c r="J2202" i="1"/>
  <c r="A2201" i="1"/>
  <c r="C2201" i="1"/>
  <c r="D2201" i="1"/>
  <c r="F2201" i="1"/>
  <c r="G2201" i="1"/>
  <c r="H2201" i="1"/>
  <c r="I2201" i="1"/>
  <c r="J2201" i="1"/>
  <c r="A2200" i="1"/>
  <c r="C2200" i="1"/>
  <c r="D2200" i="1"/>
  <c r="F2200" i="1"/>
  <c r="G2200" i="1"/>
  <c r="J2200" i="1"/>
  <c r="A2199" i="1"/>
  <c r="C2199" i="1"/>
  <c r="D2199" i="1"/>
  <c r="F2199" i="1"/>
  <c r="G2199" i="1"/>
  <c r="H2199" i="1"/>
  <c r="I2199" i="1"/>
  <c r="J2199" i="1"/>
  <c r="A2198" i="1"/>
  <c r="C2198" i="1"/>
  <c r="D2198" i="1"/>
  <c r="F2198" i="1"/>
  <c r="G2198" i="1"/>
  <c r="H2198" i="1"/>
  <c r="I2198" i="1"/>
  <c r="J2198" i="1"/>
  <c r="A2197" i="1"/>
  <c r="C2197" i="1"/>
  <c r="D2197" i="1"/>
  <c r="F2197" i="1"/>
  <c r="G2197" i="1"/>
  <c r="H2197" i="1"/>
  <c r="I2197" i="1"/>
  <c r="J2197" i="1"/>
  <c r="A2196" i="1"/>
  <c r="C2196" i="1"/>
  <c r="D2196" i="1"/>
  <c r="F2196" i="1"/>
  <c r="G2196" i="1"/>
  <c r="H2196" i="1"/>
  <c r="I2196" i="1"/>
  <c r="J2196" i="1"/>
  <c r="A2195" i="1"/>
  <c r="C2195" i="1"/>
  <c r="D2195" i="1"/>
  <c r="F2195" i="1"/>
  <c r="G2195" i="1"/>
  <c r="H2195" i="1"/>
  <c r="I2195" i="1"/>
  <c r="J2195" i="1"/>
  <c r="A2193" i="1"/>
  <c r="C2193" i="1"/>
  <c r="D2193" i="1"/>
  <c r="F2193" i="1"/>
  <c r="G2193" i="1"/>
  <c r="H2193" i="1"/>
  <c r="I2193" i="1"/>
  <c r="J2193" i="1"/>
  <c r="A2194" i="1"/>
  <c r="C2194" i="1"/>
  <c r="D2194" i="1"/>
  <c r="F2194" i="1"/>
  <c r="G2194" i="1"/>
  <c r="J2194" i="1"/>
  <c r="A2192" i="1"/>
  <c r="C2192" i="1"/>
  <c r="D2192" i="1"/>
  <c r="F2192" i="1"/>
  <c r="G2192" i="1"/>
  <c r="J2192" i="1"/>
  <c r="A2191" i="1"/>
  <c r="C2191" i="1"/>
  <c r="D2191" i="1"/>
  <c r="F2191" i="1"/>
  <c r="G2191" i="1"/>
  <c r="H2191" i="1"/>
  <c r="I2191" i="1"/>
  <c r="J2191" i="1"/>
  <c r="A2190" i="1"/>
  <c r="C2190" i="1"/>
  <c r="D2190" i="1"/>
  <c r="F2190" i="1"/>
  <c r="G2190" i="1"/>
  <c r="J2190" i="1"/>
  <c r="A2189" i="1"/>
  <c r="C2189" i="1"/>
  <c r="D2189" i="1"/>
  <c r="F2189" i="1"/>
  <c r="G2189" i="1"/>
  <c r="J2189" i="1"/>
  <c r="A2188" i="1"/>
  <c r="D2188" i="1"/>
  <c r="F2188" i="1"/>
  <c r="G2188" i="1"/>
  <c r="J2188" i="1"/>
  <c r="A2187" i="1"/>
  <c r="C2187" i="1"/>
  <c r="D2187" i="1"/>
  <c r="F2187" i="1"/>
  <c r="G2187" i="1"/>
  <c r="J2187" i="1"/>
  <c r="A2186" i="1"/>
  <c r="C2186" i="1"/>
  <c r="D2186" i="1"/>
  <c r="F2186" i="1"/>
  <c r="G2186" i="1"/>
  <c r="J2186" i="1"/>
  <c r="A2185" i="1"/>
  <c r="C2185" i="1"/>
  <c r="D2185" i="1"/>
  <c r="F2185" i="1"/>
  <c r="G2185" i="1"/>
  <c r="J2185" i="1"/>
  <c r="A2184" i="1"/>
  <c r="C2184" i="1"/>
  <c r="D2184" i="1"/>
  <c r="F2184" i="1"/>
  <c r="G2184" i="1"/>
  <c r="J2184" i="1"/>
  <c r="A2183" i="1"/>
  <c r="C2183" i="1"/>
  <c r="D2183" i="1"/>
  <c r="F2183" i="1"/>
  <c r="G2183" i="1"/>
  <c r="J2183" i="1"/>
  <c r="A2181" i="1"/>
  <c r="C2181" i="1"/>
  <c r="D2181" i="1"/>
  <c r="F2181" i="1"/>
  <c r="G2181" i="1"/>
  <c r="J2181" i="1"/>
  <c r="A2182" i="1"/>
  <c r="C2182" i="1"/>
  <c r="D2182" i="1"/>
  <c r="F2182" i="1"/>
  <c r="G2182" i="1"/>
  <c r="J2182" i="1"/>
  <c r="A2180" i="1"/>
  <c r="C2180" i="1"/>
  <c r="D2180" i="1"/>
  <c r="F2180" i="1"/>
  <c r="G2180" i="1"/>
  <c r="J2180" i="1"/>
  <c r="A2178" i="1"/>
  <c r="C2178" i="1"/>
  <c r="D2178" i="1"/>
  <c r="F2178" i="1"/>
  <c r="G2178" i="1"/>
  <c r="J2178" i="1"/>
  <c r="A2179" i="1"/>
  <c r="C2179" i="1"/>
  <c r="D2179" i="1"/>
  <c r="F2179" i="1"/>
  <c r="G2179" i="1"/>
  <c r="J2179" i="1"/>
  <c r="A2176" i="1"/>
  <c r="C2176" i="1"/>
  <c r="D2176" i="1"/>
  <c r="F2176" i="1"/>
  <c r="G2176" i="1"/>
  <c r="J2176" i="1"/>
  <c r="A2177" i="1"/>
  <c r="C2177" i="1"/>
  <c r="D2177" i="1"/>
  <c r="F2177" i="1"/>
  <c r="G2177" i="1"/>
  <c r="J2177" i="1"/>
  <c r="A2175" i="1"/>
  <c r="C2175" i="1"/>
  <c r="D2175" i="1"/>
  <c r="F2175" i="1"/>
  <c r="G2175" i="1"/>
  <c r="J2175" i="1"/>
  <c r="A2173" i="1"/>
  <c r="C2173" i="1"/>
  <c r="D2173" i="1"/>
  <c r="F2173" i="1"/>
  <c r="G2173" i="1"/>
  <c r="J2173" i="1"/>
  <c r="A2174" i="1"/>
  <c r="C2174" i="1"/>
  <c r="D2174" i="1"/>
  <c r="F2174" i="1"/>
  <c r="G2174" i="1"/>
  <c r="J2174" i="1"/>
  <c r="A2172" i="1"/>
  <c r="D2172" i="1"/>
  <c r="F2172" i="1"/>
  <c r="G2172" i="1"/>
  <c r="J2172" i="1"/>
  <c r="A2171" i="1"/>
  <c r="C2171" i="1"/>
  <c r="D2171" i="1"/>
  <c r="F2171" i="1"/>
  <c r="G2171" i="1"/>
  <c r="J2171" i="1"/>
  <c r="A2170" i="1"/>
  <c r="C2170" i="1"/>
  <c r="D2170" i="1"/>
  <c r="F2170" i="1"/>
  <c r="G2170" i="1"/>
  <c r="J2170" i="1"/>
  <c r="A2169" i="1"/>
  <c r="C2169" i="1"/>
  <c r="D2169" i="1"/>
  <c r="F2169" i="1"/>
  <c r="G2169" i="1"/>
  <c r="J2169" i="1"/>
  <c r="A2168" i="1"/>
  <c r="C2168" i="1"/>
  <c r="D2168" i="1"/>
  <c r="F2168" i="1"/>
  <c r="G2168" i="1"/>
  <c r="J2168" i="1"/>
  <c r="L2168" i="1"/>
  <c r="A2167" i="1"/>
  <c r="C2167" i="1"/>
  <c r="D2167" i="1"/>
  <c r="F2167" i="1"/>
  <c r="G2167" i="1"/>
  <c r="J2167" i="1"/>
  <c r="A2166" i="1"/>
  <c r="C2166" i="1"/>
  <c r="D2166" i="1"/>
  <c r="F2166" i="1"/>
  <c r="G2166" i="1"/>
  <c r="J2166" i="1"/>
  <c r="L2166" i="1"/>
  <c r="A2165" i="1"/>
  <c r="C2165" i="1"/>
  <c r="D2165" i="1"/>
  <c r="F2165" i="1"/>
  <c r="G2165" i="1"/>
  <c r="J2165" i="1"/>
  <c r="L2165" i="1"/>
  <c r="A2164" i="1"/>
  <c r="C2164" i="1"/>
  <c r="D2164" i="1"/>
  <c r="F2164" i="1"/>
  <c r="G2164" i="1"/>
  <c r="J2164" i="1"/>
  <c r="A2163" i="1"/>
  <c r="C2163" i="1"/>
  <c r="D2163" i="1"/>
  <c r="F2163" i="1"/>
  <c r="G2163" i="1"/>
  <c r="J2163" i="1"/>
  <c r="L2163" i="1"/>
  <c r="A2162" i="1"/>
  <c r="C2162" i="1"/>
  <c r="D2162" i="1"/>
  <c r="F2162" i="1"/>
  <c r="G2162" i="1"/>
  <c r="J2162" i="1"/>
  <c r="A2161" i="1"/>
  <c r="C2161" i="1"/>
  <c r="D2161" i="1"/>
  <c r="F2161" i="1"/>
  <c r="G2161" i="1"/>
  <c r="J2161" i="1"/>
  <c r="A2160" i="1"/>
  <c r="C2160" i="1"/>
  <c r="D2160" i="1"/>
  <c r="F2160" i="1"/>
  <c r="G2160" i="1"/>
  <c r="J2160" i="1"/>
  <c r="A2159" i="1"/>
  <c r="C2159" i="1"/>
  <c r="D2159" i="1"/>
  <c r="F2159" i="1"/>
  <c r="G2159" i="1"/>
  <c r="J2159" i="1"/>
  <c r="A2158" i="1"/>
  <c r="C2158" i="1"/>
  <c r="D2158" i="1"/>
  <c r="F2158" i="1"/>
  <c r="G2158" i="1"/>
  <c r="J2158" i="1"/>
  <c r="A2157" i="1"/>
  <c r="C2157" i="1"/>
  <c r="D2157" i="1"/>
  <c r="F2157" i="1"/>
  <c r="G2157" i="1"/>
  <c r="J2157" i="1"/>
  <c r="A2156" i="1"/>
  <c r="C2156" i="1"/>
  <c r="D2156" i="1"/>
  <c r="E2156" i="1"/>
  <c r="F2156" i="1"/>
  <c r="G2156" i="1"/>
  <c r="J2156" i="1"/>
  <c r="A2155" i="1"/>
  <c r="C2155" i="1"/>
  <c r="D2155" i="1"/>
  <c r="E2155" i="1"/>
  <c r="F2155" i="1"/>
  <c r="G2155" i="1"/>
  <c r="J2155" i="1"/>
  <c r="A2154" i="1"/>
  <c r="C2154" i="1"/>
  <c r="D2154" i="1"/>
  <c r="E2154" i="1"/>
  <c r="F2154" i="1"/>
  <c r="G2154" i="1"/>
  <c r="J2154" i="1"/>
  <c r="A2153" i="1"/>
  <c r="C2153" i="1"/>
  <c r="D2153" i="1"/>
  <c r="F2153" i="1"/>
  <c r="G2153" i="1"/>
  <c r="J2153" i="1"/>
  <c r="A2152" i="1"/>
  <c r="C2152" i="1"/>
  <c r="D2152" i="1"/>
  <c r="E2152" i="1"/>
  <c r="F2152" i="1"/>
  <c r="G2152" i="1"/>
  <c r="J2152" i="1"/>
  <c r="A2151" i="1"/>
  <c r="C2151" i="1"/>
  <c r="D2151" i="1"/>
  <c r="F2151" i="1"/>
  <c r="G2151" i="1"/>
  <c r="J2151" i="1"/>
  <c r="A2150" i="1"/>
  <c r="C2150" i="1"/>
  <c r="D2150" i="1"/>
  <c r="F2150" i="1"/>
  <c r="G2150" i="1"/>
  <c r="J2150" i="1"/>
  <c r="A2149" i="1"/>
  <c r="C2149" i="1"/>
  <c r="D2149" i="1"/>
  <c r="F2149" i="1"/>
  <c r="G2149" i="1"/>
  <c r="J2149" i="1"/>
  <c r="A2148" i="1"/>
  <c r="C2148" i="1"/>
  <c r="D2148" i="1"/>
  <c r="F2148" i="1"/>
  <c r="G2148" i="1"/>
  <c r="J2148" i="1"/>
  <c r="A2147" i="1"/>
  <c r="C2147" i="1"/>
  <c r="D2147" i="1"/>
  <c r="F2147" i="1"/>
  <c r="G2147" i="1"/>
  <c r="J2147" i="1"/>
  <c r="A2146" i="1"/>
  <c r="C2146" i="1"/>
  <c r="D2146" i="1"/>
  <c r="F2146" i="1"/>
  <c r="G2146" i="1"/>
  <c r="J2146" i="1"/>
  <c r="A2145" i="1"/>
  <c r="C2145" i="1"/>
  <c r="D2145" i="1"/>
  <c r="F2145" i="1"/>
  <c r="G2145" i="1"/>
  <c r="J2145" i="1"/>
  <c r="A2144" i="1"/>
  <c r="C2144" i="1"/>
  <c r="D2144" i="1"/>
  <c r="F2144" i="1"/>
  <c r="G2144" i="1"/>
  <c r="J2144" i="1"/>
  <c r="L2144" i="1"/>
  <c r="A2143" i="1"/>
  <c r="C2143" i="1"/>
  <c r="D2143" i="1"/>
  <c r="F2143" i="1"/>
  <c r="G2143" i="1"/>
  <c r="J2143" i="1"/>
  <c r="A2141" i="1"/>
  <c r="C2141" i="1"/>
  <c r="D2141" i="1"/>
  <c r="F2141" i="1"/>
  <c r="G2141" i="1"/>
  <c r="H2141" i="1"/>
  <c r="J2141" i="1"/>
  <c r="A2142" i="1"/>
  <c r="C2142" i="1"/>
  <c r="D2142" i="1"/>
  <c r="F2142" i="1"/>
  <c r="G2142" i="1"/>
  <c r="J2142" i="1"/>
  <c r="A2140" i="1"/>
  <c r="C2140" i="1"/>
  <c r="D2140" i="1"/>
  <c r="F2140" i="1"/>
  <c r="G2140" i="1"/>
  <c r="J2140" i="1"/>
  <c r="A2139" i="1"/>
  <c r="C2139" i="1"/>
  <c r="D2139" i="1"/>
  <c r="F2139" i="1"/>
  <c r="G2139" i="1"/>
  <c r="J2139" i="1"/>
  <c r="A2138" i="1"/>
  <c r="C2138" i="1"/>
  <c r="D2138" i="1"/>
  <c r="F2138" i="1"/>
  <c r="G2138" i="1"/>
  <c r="J2138" i="1"/>
  <c r="A2137" i="1"/>
  <c r="C2137" i="1"/>
  <c r="D2137" i="1"/>
  <c r="F2137" i="1"/>
  <c r="G2137" i="1"/>
  <c r="J2137" i="1"/>
  <c r="A2136" i="1"/>
  <c r="C2136" i="1"/>
  <c r="D2136" i="1"/>
  <c r="F2136" i="1"/>
  <c r="G2136" i="1"/>
  <c r="J2136" i="1"/>
  <c r="A2135" i="1"/>
  <c r="C2135" i="1"/>
  <c r="D2135" i="1"/>
  <c r="F2135" i="1"/>
  <c r="G2135" i="1"/>
  <c r="J2135" i="1"/>
  <c r="A2134" i="1"/>
  <c r="C2134" i="1"/>
  <c r="D2134" i="1"/>
  <c r="F2134" i="1"/>
  <c r="G2134" i="1"/>
  <c r="J2134" i="1"/>
  <c r="A2132" i="1"/>
  <c r="C2132" i="1"/>
  <c r="D2132" i="1"/>
  <c r="F2132" i="1"/>
  <c r="G2132" i="1"/>
  <c r="J2132" i="1"/>
  <c r="A2133" i="1"/>
  <c r="C2133" i="1"/>
  <c r="D2133" i="1"/>
  <c r="E2133" i="1"/>
  <c r="F2133" i="1"/>
  <c r="G2133" i="1"/>
  <c r="J2133" i="1"/>
  <c r="A2131" i="1"/>
  <c r="D2131" i="1"/>
  <c r="E2131" i="1"/>
  <c r="F2131" i="1"/>
  <c r="G2131" i="1"/>
  <c r="J2131" i="1"/>
  <c r="A2130" i="1"/>
  <c r="C2130" i="1"/>
  <c r="D2130" i="1"/>
  <c r="E2130" i="1"/>
  <c r="F2130" i="1"/>
  <c r="G2130" i="1"/>
  <c r="J2130" i="1"/>
  <c r="A2129" i="1"/>
  <c r="C2129" i="1"/>
  <c r="D2129" i="1"/>
  <c r="F2129" i="1"/>
  <c r="G2129" i="1"/>
  <c r="J2129" i="1"/>
  <c r="A2128" i="1"/>
  <c r="C2128" i="1"/>
  <c r="D2128" i="1"/>
  <c r="F2128" i="1"/>
  <c r="G2128" i="1"/>
  <c r="J2128" i="1"/>
  <c r="A2127" i="1"/>
  <c r="C2127" i="1"/>
  <c r="D2127" i="1"/>
  <c r="F2127" i="1"/>
  <c r="G2127" i="1"/>
  <c r="J2127" i="1"/>
  <c r="A2126" i="1"/>
  <c r="E2126" i="1"/>
  <c r="F2126" i="1"/>
  <c r="J2126" i="1"/>
  <c r="A2125" i="1"/>
  <c r="D2125" i="1"/>
  <c r="E2125" i="1"/>
  <c r="F2125" i="1"/>
  <c r="G2125" i="1"/>
  <c r="J2125" i="1"/>
  <c r="A2124" i="1"/>
  <c r="C2124" i="1"/>
  <c r="D2124" i="1"/>
  <c r="F2124" i="1"/>
  <c r="G2124" i="1"/>
  <c r="J2124" i="1"/>
  <c r="A2123" i="1"/>
  <c r="C2123" i="1"/>
  <c r="D2123" i="1"/>
  <c r="F2123" i="1"/>
  <c r="G2123" i="1"/>
  <c r="J2123" i="1"/>
  <c r="A2122" i="1"/>
  <c r="C2122" i="1"/>
  <c r="D2122" i="1"/>
  <c r="F2122" i="1"/>
  <c r="G2122" i="1"/>
  <c r="J2122" i="1"/>
  <c r="A2121" i="1"/>
  <c r="D2121" i="1"/>
  <c r="E2121" i="1"/>
  <c r="F2121" i="1"/>
  <c r="G2121" i="1"/>
  <c r="J2121" i="1"/>
  <c r="A2120" i="1"/>
  <c r="D2120" i="1"/>
  <c r="E2120" i="1"/>
  <c r="F2120" i="1"/>
  <c r="G2120" i="1"/>
  <c r="J2120" i="1"/>
  <c r="A2119" i="1"/>
  <c r="C2119" i="1"/>
  <c r="D2119" i="1"/>
  <c r="E2119" i="1"/>
  <c r="F2119" i="1"/>
  <c r="G2119" i="1"/>
  <c r="J2119" i="1"/>
  <c r="A2118" i="1"/>
  <c r="C2118" i="1"/>
  <c r="D2118" i="1"/>
  <c r="F2118" i="1"/>
  <c r="G2118" i="1"/>
  <c r="J2118" i="1"/>
  <c r="A2117" i="1"/>
  <c r="C2117" i="1"/>
  <c r="D2117" i="1"/>
  <c r="E2117" i="1"/>
  <c r="F2117" i="1"/>
  <c r="G2117" i="1"/>
  <c r="J2117" i="1"/>
  <c r="A2116" i="1"/>
  <c r="D2116" i="1"/>
  <c r="F2116" i="1"/>
  <c r="G2116" i="1"/>
  <c r="J2116" i="1"/>
  <c r="A2115" i="1"/>
  <c r="C2115" i="1"/>
  <c r="D2115" i="1"/>
  <c r="F2115" i="1"/>
  <c r="G2115" i="1"/>
  <c r="J2115" i="1"/>
  <c r="A2114" i="1"/>
  <c r="C2114" i="1"/>
  <c r="D2114" i="1"/>
  <c r="F2114" i="1"/>
  <c r="G2114" i="1"/>
  <c r="J2114" i="1"/>
  <c r="A2113" i="1"/>
  <c r="C2113" i="1"/>
  <c r="D2113" i="1"/>
  <c r="F2113" i="1"/>
  <c r="G2113" i="1"/>
  <c r="J2113" i="1"/>
  <c r="A2112" i="1"/>
  <c r="C2112" i="1"/>
  <c r="D2112" i="1"/>
  <c r="F2112" i="1"/>
  <c r="G2112" i="1"/>
  <c r="J2112" i="1"/>
  <c r="A2111" i="1"/>
  <c r="D2111" i="1"/>
  <c r="F2111" i="1"/>
  <c r="G2111" i="1"/>
  <c r="J2111" i="1"/>
  <c r="A2110" i="1"/>
  <c r="C2110" i="1"/>
  <c r="D2110" i="1"/>
  <c r="E2110" i="1"/>
  <c r="F2110" i="1"/>
  <c r="G2110" i="1"/>
  <c r="J2110" i="1"/>
  <c r="A2109" i="1"/>
  <c r="C2109" i="1"/>
  <c r="D2109" i="1"/>
  <c r="F2109" i="1"/>
  <c r="G2109" i="1"/>
  <c r="J2109" i="1"/>
  <c r="A2108" i="1"/>
  <c r="C2108" i="1"/>
  <c r="D2108" i="1"/>
  <c r="F2108" i="1"/>
  <c r="G2108" i="1"/>
  <c r="J2108" i="1"/>
  <c r="A2107" i="1"/>
  <c r="C2107" i="1"/>
  <c r="D2107" i="1"/>
  <c r="F2107" i="1"/>
  <c r="G2107" i="1"/>
  <c r="J2107" i="1"/>
  <c r="A2106" i="1"/>
  <c r="C2106" i="1"/>
  <c r="D2106" i="1"/>
  <c r="F2106" i="1"/>
  <c r="G2106" i="1"/>
  <c r="J2106" i="1"/>
  <c r="A2105" i="1"/>
  <c r="C2105" i="1"/>
  <c r="D2105" i="1"/>
  <c r="F2105" i="1"/>
  <c r="G2105" i="1"/>
  <c r="J2105" i="1"/>
  <c r="A2104" i="1"/>
  <c r="C2104" i="1"/>
  <c r="D2104" i="1"/>
  <c r="F2104" i="1"/>
  <c r="G2104" i="1"/>
  <c r="J2104" i="1"/>
  <c r="A2103" i="1"/>
  <c r="C2103" i="1"/>
  <c r="D2103" i="1"/>
  <c r="F2103" i="1"/>
  <c r="G2103" i="1"/>
  <c r="J2103" i="1"/>
  <c r="A2102" i="1"/>
  <c r="C2102" i="1"/>
  <c r="D2102" i="1"/>
  <c r="F2102" i="1"/>
  <c r="G2102" i="1"/>
  <c r="J2102" i="1"/>
  <c r="A2101" i="1"/>
  <c r="C2101" i="1"/>
  <c r="D2101" i="1"/>
  <c r="F2101" i="1"/>
  <c r="G2101" i="1"/>
  <c r="J2101" i="1"/>
  <c r="A2100" i="1"/>
  <c r="C2100" i="1"/>
  <c r="D2100" i="1"/>
  <c r="F2100" i="1"/>
  <c r="G2100" i="1"/>
  <c r="J2100" i="1"/>
  <c r="A2099" i="1"/>
  <c r="C2099" i="1"/>
  <c r="D2099" i="1"/>
  <c r="F2099" i="1"/>
  <c r="G2099" i="1"/>
  <c r="J2099" i="1"/>
  <c r="A2098" i="1"/>
  <c r="C2098" i="1"/>
  <c r="D2098" i="1"/>
  <c r="F2098" i="1"/>
  <c r="G2098" i="1"/>
  <c r="J2098" i="1"/>
  <c r="A2097" i="1"/>
  <c r="C2097" i="1"/>
  <c r="D2097" i="1"/>
  <c r="F2097" i="1"/>
  <c r="G2097" i="1"/>
  <c r="J2097" i="1"/>
  <c r="A2096" i="1"/>
  <c r="C2096" i="1"/>
  <c r="D2096" i="1"/>
  <c r="F2096" i="1"/>
  <c r="G2096" i="1"/>
  <c r="J2096" i="1"/>
  <c r="A2095" i="1"/>
  <c r="C2095" i="1"/>
  <c r="D2095" i="1"/>
  <c r="F2095" i="1"/>
  <c r="G2095" i="1"/>
  <c r="J2095" i="1"/>
  <c r="A2094" i="1"/>
  <c r="C2094" i="1"/>
  <c r="D2094" i="1"/>
  <c r="F2094" i="1"/>
  <c r="G2094" i="1"/>
  <c r="J2094" i="1"/>
  <c r="L2094" i="1"/>
  <c r="A2093" i="1"/>
  <c r="D2093" i="1"/>
  <c r="F2093" i="1"/>
  <c r="G2093" i="1"/>
  <c r="J2093" i="1"/>
  <c r="A2092" i="1"/>
  <c r="D2092" i="1"/>
  <c r="F2092" i="1"/>
  <c r="G2092" i="1"/>
  <c r="J2092" i="1"/>
  <c r="A2091" i="1"/>
  <c r="C2091" i="1"/>
  <c r="D2091" i="1"/>
  <c r="F2091" i="1"/>
  <c r="G2091" i="1"/>
  <c r="J2091" i="1"/>
  <c r="A2090" i="1"/>
  <c r="C2090" i="1"/>
  <c r="D2090" i="1"/>
  <c r="E2090" i="1"/>
  <c r="F2090" i="1"/>
  <c r="G2090" i="1"/>
  <c r="J2090" i="1"/>
  <c r="A2089" i="1"/>
  <c r="C2089" i="1"/>
  <c r="D2089" i="1"/>
  <c r="E2089" i="1"/>
  <c r="F2089" i="1"/>
  <c r="G2089" i="1"/>
  <c r="J2089" i="1"/>
  <c r="A2088" i="1"/>
  <c r="C2088" i="1"/>
  <c r="D2088" i="1"/>
  <c r="F2088" i="1"/>
  <c r="G2088" i="1"/>
  <c r="J2088" i="1"/>
  <c r="A2087" i="1"/>
  <c r="C2087" i="1"/>
  <c r="D2087" i="1"/>
  <c r="E2087" i="1"/>
  <c r="F2087" i="1"/>
  <c r="G2087" i="1"/>
  <c r="J2087" i="1"/>
  <c r="A2086" i="1"/>
  <c r="C2086" i="1"/>
  <c r="D2086" i="1"/>
  <c r="F2086" i="1"/>
  <c r="G2086" i="1"/>
  <c r="J2086" i="1"/>
  <c r="A2085" i="1"/>
  <c r="C2085" i="1"/>
  <c r="D2085" i="1"/>
  <c r="F2085" i="1"/>
  <c r="G2085" i="1"/>
  <c r="J2085" i="1"/>
  <c r="A2084" i="1"/>
  <c r="C2084" i="1"/>
  <c r="D2084" i="1"/>
  <c r="F2084" i="1"/>
  <c r="G2084" i="1"/>
  <c r="J2084" i="1"/>
  <c r="A2083" i="1"/>
  <c r="C2083" i="1"/>
  <c r="D2083" i="1"/>
  <c r="E2083" i="1"/>
  <c r="F2083" i="1"/>
  <c r="G2083" i="1"/>
  <c r="J2083" i="1"/>
  <c r="A2082" i="1"/>
  <c r="C2082" i="1"/>
  <c r="D2082" i="1"/>
  <c r="F2082" i="1"/>
  <c r="G2082" i="1"/>
  <c r="J2082" i="1"/>
  <c r="A2081" i="1"/>
  <c r="C2081" i="1"/>
  <c r="D2081" i="1"/>
  <c r="F2081" i="1"/>
  <c r="G2081" i="1"/>
  <c r="J2081" i="1"/>
  <c r="A2080" i="1"/>
  <c r="C2080" i="1"/>
  <c r="D2080" i="1"/>
  <c r="E2080" i="1"/>
  <c r="F2080" i="1"/>
  <c r="G2080" i="1"/>
  <c r="J2080" i="1"/>
  <c r="A2079" i="1"/>
  <c r="C2079" i="1"/>
  <c r="D2079" i="1"/>
  <c r="E2079" i="1"/>
  <c r="F2079" i="1"/>
  <c r="G2079" i="1"/>
  <c r="J2079" i="1"/>
  <c r="A2078" i="1"/>
  <c r="C2078" i="1"/>
  <c r="D2078" i="1"/>
  <c r="E2078" i="1"/>
  <c r="F2078" i="1"/>
  <c r="G2078" i="1"/>
  <c r="J2078" i="1"/>
  <c r="A2077" i="1"/>
  <c r="C2077" i="1"/>
  <c r="D2077" i="1"/>
  <c r="E2077" i="1"/>
  <c r="F2077" i="1"/>
  <c r="G2077" i="1"/>
  <c r="J2077" i="1"/>
  <c r="A2076" i="1"/>
  <c r="C2076" i="1"/>
  <c r="D2076" i="1"/>
  <c r="F2076" i="1"/>
  <c r="G2076" i="1"/>
  <c r="J2076" i="1"/>
  <c r="A2075" i="1"/>
  <c r="C2075" i="1"/>
  <c r="D2075" i="1"/>
  <c r="F2075" i="1"/>
  <c r="G2075" i="1"/>
  <c r="J2075" i="1"/>
  <c r="A2074" i="1"/>
  <c r="C2074" i="1"/>
  <c r="D2074" i="1"/>
  <c r="F2074" i="1"/>
  <c r="G2074" i="1"/>
  <c r="J2074" i="1"/>
  <c r="A2073" i="1"/>
  <c r="C2073" i="1"/>
  <c r="D2073" i="1"/>
  <c r="F2073" i="1"/>
  <c r="G2073" i="1"/>
  <c r="J2073" i="1"/>
  <c r="A2072" i="1"/>
  <c r="C2072" i="1"/>
  <c r="D2072" i="1"/>
  <c r="F2072" i="1"/>
  <c r="G2072" i="1"/>
  <c r="J2072" i="1"/>
  <c r="A2071" i="1"/>
  <c r="C2071" i="1"/>
  <c r="D2071" i="1"/>
  <c r="F2071" i="1"/>
  <c r="G2071" i="1"/>
  <c r="J2071" i="1"/>
  <c r="A2070" i="1"/>
  <c r="D2070" i="1"/>
  <c r="E2070" i="1"/>
  <c r="F2070" i="1"/>
  <c r="G2070" i="1"/>
  <c r="J2070" i="1"/>
  <c r="A2069" i="1"/>
  <c r="C2069" i="1"/>
  <c r="D2069" i="1"/>
  <c r="E2069" i="1"/>
  <c r="F2069" i="1"/>
  <c r="G2069" i="1"/>
  <c r="J2069" i="1"/>
  <c r="A2068" i="1"/>
  <c r="C2068" i="1"/>
  <c r="D2068" i="1"/>
  <c r="F2068" i="1"/>
  <c r="G2068" i="1"/>
  <c r="J2068" i="1"/>
  <c r="A2067" i="1"/>
  <c r="C2067" i="1"/>
  <c r="D2067" i="1"/>
  <c r="F2067" i="1"/>
  <c r="G2067" i="1"/>
  <c r="J2067" i="1"/>
  <c r="A2066" i="1"/>
  <c r="C2066" i="1"/>
  <c r="D2066" i="1"/>
  <c r="E2066" i="1"/>
  <c r="F2066" i="1"/>
  <c r="G2066" i="1"/>
  <c r="J2066" i="1"/>
  <c r="A2065" i="1"/>
  <c r="C2065" i="1"/>
  <c r="D2065" i="1"/>
  <c r="F2065" i="1"/>
  <c r="G2065" i="1"/>
  <c r="J2065" i="1"/>
  <c r="A2064" i="1"/>
  <c r="C2064" i="1"/>
  <c r="D2064" i="1"/>
  <c r="F2064" i="1"/>
  <c r="G2064" i="1"/>
  <c r="J2064" i="1"/>
  <c r="A2063" i="1"/>
  <c r="C2063" i="1"/>
  <c r="D2063" i="1"/>
  <c r="F2063" i="1"/>
  <c r="G2063" i="1"/>
  <c r="J2063" i="1"/>
  <c r="A2062" i="1"/>
  <c r="D2062" i="1"/>
  <c r="F2062" i="1"/>
  <c r="G2062" i="1"/>
  <c r="J2062" i="1"/>
  <c r="A2061" i="1"/>
  <c r="C2061" i="1"/>
  <c r="D2061" i="1"/>
  <c r="E2061" i="1"/>
  <c r="F2061" i="1"/>
  <c r="J2061" i="1"/>
  <c r="A2060" i="1"/>
  <c r="C2060" i="1"/>
  <c r="D2060" i="1"/>
  <c r="F2060" i="1"/>
  <c r="G2060" i="1"/>
  <c r="J2060" i="1"/>
  <c r="A2059" i="1"/>
  <c r="C2059" i="1"/>
  <c r="D2059" i="1"/>
  <c r="F2059" i="1"/>
  <c r="G2059" i="1"/>
  <c r="J2059" i="1"/>
  <c r="A2057" i="1"/>
  <c r="C2057" i="1"/>
  <c r="D2057" i="1"/>
  <c r="F2057" i="1"/>
  <c r="G2057" i="1"/>
  <c r="J2057" i="1"/>
  <c r="A2058" i="1"/>
  <c r="C2058" i="1"/>
  <c r="D2058" i="1"/>
  <c r="F2058" i="1"/>
  <c r="G2058" i="1"/>
  <c r="J2058" i="1"/>
  <c r="A2056" i="1"/>
  <c r="D2056" i="1"/>
  <c r="F2056" i="1"/>
  <c r="G2056" i="1"/>
  <c r="J2056" i="1"/>
  <c r="A2055" i="1"/>
  <c r="D2055" i="1"/>
  <c r="F2055" i="1"/>
  <c r="G2055" i="1"/>
  <c r="J2055" i="1"/>
  <c r="A2054" i="1"/>
  <c r="D2054" i="1"/>
  <c r="F2054" i="1"/>
  <c r="G2054" i="1"/>
  <c r="J2054" i="1"/>
  <c r="A2053" i="1"/>
  <c r="C2053" i="1"/>
  <c r="D2053" i="1"/>
  <c r="E2053" i="1"/>
  <c r="F2053" i="1"/>
  <c r="G2053" i="1"/>
  <c r="J2053" i="1"/>
  <c r="A2052" i="1"/>
  <c r="C2052" i="1"/>
  <c r="D2052" i="1"/>
  <c r="F2052" i="1"/>
  <c r="G2052" i="1"/>
  <c r="H2052" i="1"/>
  <c r="J2052" i="1"/>
  <c r="A2051" i="1"/>
  <c r="C2051" i="1"/>
  <c r="D2051" i="1"/>
  <c r="F2051" i="1"/>
  <c r="G2051" i="1"/>
  <c r="J2051" i="1"/>
  <c r="A2050" i="1"/>
  <c r="C2050" i="1"/>
  <c r="D2050" i="1"/>
  <c r="F2050" i="1"/>
  <c r="G2050" i="1"/>
  <c r="J2050" i="1"/>
  <c r="A2049" i="1"/>
  <c r="D2049" i="1"/>
  <c r="F2049" i="1"/>
  <c r="G2049" i="1"/>
  <c r="J2049" i="1"/>
  <c r="A2048" i="1"/>
  <c r="C2048" i="1"/>
  <c r="D2048" i="1"/>
  <c r="E2048" i="1"/>
  <c r="F2048" i="1"/>
  <c r="G2048" i="1"/>
  <c r="J2048" i="1"/>
  <c r="A2047" i="1"/>
  <c r="C2047" i="1"/>
  <c r="D2047" i="1"/>
  <c r="F2047" i="1"/>
  <c r="G2047" i="1"/>
  <c r="J2047" i="1"/>
  <c r="L2047" i="1"/>
  <c r="A2046" i="1"/>
  <c r="D2046" i="1"/>
  <c r="F2046" i="1"/>
  <c r="G2046" i="1"/>
  <c r="H2046" i="1"/>
  <c r="J2046" i="1"/>
  <c r="A2045" i="1"/>
  <c r="C2045" i="1"/>
  <c r="D2045" i="1"/>
  <c r="F2045" i="1"/>
  <c r="G2045" i="1"/>
  <c r="J2045" i="1"/>
  <c r="A2044" i="1"/>
  <c r="C2044" i="1"/>
  <c r="D2044" i="1"/>
  <c r="F2044" i="1"/>
  <c r="G2044" i="1"/>
  <c r="J2044" i="1"/>
  <c r="A2043" i="1"/>
  <c r="C2043" i="1"/>
  <c r="D2043" i="1"/>
  <c r="F2043" i="1"/>
  <c r="G2043" i="1"/>
  <c r="J2043" i="1"/>
  <c r="A2042" i="1"/>
  <c r="C2042" i="1"/>
  <c r="D2042" i="1"/>
  <c r="F2042" i="1"/>
  <c r="G2042" i="1"/>
  <c r="H2042" i="1"/>
  <c r="J2042" i="1"/>
  <c r="A2041" i="1"/>
  <c r="C2041" i="1"/>
  <c r="D2041" i="1"/>
  <c r="F2041" i="1"/>
  <c r="G2041" i="1"/>
  <c r="J2041" i="1"/>
  <c r="A2039" i="1"/>
  <c r="C2039" i="1"/>
  <c r="D2039" i="1"/>
  <c r="E2039" i="1"/>
  <c r="F2039" i="1"/>
  <c r="G2039" i="1"/>
  <c r="J2039" i="1"/>
  <c r="A2040" i="1"/>
  <c r="C2040" i="1"/>
  <c r="E2040" i="1"/>
  <c r="F2040" i="1"/>
  <c r="G2040" i="1"/>
  <c r="J2040" i="1"/>
  <c r="A2038" i="1"/>
  <c r="C2038" i="1"/>
  <c r="D2038" i="1"/>
  <c r="F2038" i="1"/>
  <c r="G2038" i="1"/>
  <c r="J2038" i="1"/>
  <c r="A2037" i="1"/>
  <c r="D2037" i="1"/>
  <c r="E2037" i="1"/>
  <c r="F2037" i="1"/>
  <c r="G2037" i="1"/>
  <c r="H2037" i="1"/>
  <c r="J2037" i="1"/>
  <c r="A2036" i="1"/>
  <c r="C2036" i="1"/>
  <c r="D2036" i="1"/>
  <c r="E2036" i="1"/>
  <c r="F2036" i="1"/>
  <c r="G2036" i="1"/>
  <c r="H2036" i="1"/>
  <c r="J2036" i="1"/>
  <c r="A2035" i="1"/>
  <c r="C2035" i="1"/>
  <c r="D2035" i="1"/>
  <c r="E2035" i="1"/>
  <c r="F2035" i="1"/>
  <c r="G2035" i="1"/>
  <c r="J2035" i="1"/>
  <c r="A2034" i="1"/>
  <c r="C2034" i="1"/>
  <c r="D2034" i="1"/>
  <c r="E2034" i="1"/>
  <c r="F2034" i="1"/>
  <c r="G2034" i="1"/>
  <c r="J2034" i="1"/>
  <c r="A2033" i="1"/>
  <c r="D2033" i="1"/>
  <c r="F2033" i="1"/>
  <c r="G2033" i="1"/>
  <c r="J2033" i="1"/>
  <c r="A2031" i="1"/>
  <c r="C2031" i="1"/>
  <c r="D2031" i="1"/>
  <c r="E2031" i="1"/>
  <c r="F2031" i="1"/>
  <c r="G2031" i="1"/>
  <c r="J2031" i="1"/>
  <c r="A2032" i="1"/>
  <c r="E2032" i="1"/>
  <c r="F2032" i="1"/>
  <c r="G2032" i="1"/>
  <c r="J2032" i="1"/>
  <c r="A2030" i="1"/>
  <c r="C2030" i="1"/>
  <c r="D2030" i="1"/>
  <c r="F2030" i="1"/>
  <c r="G2030" i="1"/>
  <c r="J2030" i="1"/>
  <c r="A2029" i="1"/>
  <c r="C2029" i="1"/>
  <c r="D2029" i="1"/>
  <c r="F2029" i="1"/>
  <c r="G2029" i="1"/>
  <c r="J2029" i="1"/>
  <c r="A2028" i="1"/>
  <c r="C2028" i="1"/>
  <c r="D2028" i="1"/>
  <c r="F2028" i="1"/>
  <c r="G2028" i="1"/>
  <c r="J2028" i="1"/>
  <c r="A2026" i="1"/>
  <c r="C2026" i="1"/>
  <c r="D2026" i="1"/>
  <c r="F2026" i="1"/>
  <c r="G2026" i="1"/>
  <c r="J2026" i="1"/>
  <c r="A2027" i="1"/>
  <c r="C2027" i="1"/>
  <c r="D2027" i="1"/>
  <c r="F2027" i="1"/>
  <c r="G2027" i="1"/>
  <c r="J2027" i="1"/>
  <c r="A2025" i="1"/>
  <c r="C2025" i="1"/>
  <c r="D2025" i="1"/>
  <c r="F2025" i="1"/>
  <c r="G2025" i="1"/>
  <c r="J2025" i="1"/>
  <c r="A2024" i="1"/>
  <c r="C2024" i="1"/>
  <c r="D2024" i="1"/>
  <c r="F2024" i="1"/>
  <c r="G2024" i="1"/>
  <c r="J2024" i="1"/>
  <c r="A2023" i="1"/>
  <c r="C2023" i="1"/>
  <c r="D2023" i="1"/>
  <c r="F2023" i="1"/>
  <c r="G2023" i="1"/>
  <c r="J2023" i="1"/>
  <c r="A2022" i="1"/>
  <c r="C2022" i="1"/>
  <c r="D2022" i="1"/>
  <c r="F2022" i="1"/>
  <c r="G2022" i="1"/>
  <c r="J2022" i="1"/>
  <c r="A2021" i="1"/>
  <c r="C2021" i="1"/>
  <c r="D2021" i="1"/>
  <c r="F2021" i="1"/>
  <c r="G2021" i="1"/>
  <c r="J2021" i="1"/>
  <c r="A2020" i="1"/>
  <c r="C2020" i="1"/>
  <c r="D2020" i="1"/>
  <c r="F2020" i="1"/>
  <c r="G2020" i="1"/>
  <c r="J2020" i="1"/>
  <c r="A2019" i="1"/>
  <c r="C2019" i="1"/>
  <c r="D2019" i="1"/>
  <c r="F2019" i="1"/>
  <c r="G2019" i="1"/>
  <c r="J2019" i="1"/>
  <c r="A2018" i="1"/>
  <c r="C2018" i="1"/>
  <c r="D2018" i="1"/>
  <c r="E2018" i="1"/>
  <c r="F2018" i="1"/>
  <c r="G2018" i="1"/>
  <c r="J2018" i="1"/>
  <c r="A2017" i="1"/>
  <c r="C2017" i="1"/>
  <c r="D2017" i="1"/>
  <c r="F2017" i="1"/>
  <c r="G2017" i="1"/>
  <c r="J2017" i="1"/>
  <c r="A2016" i="1"/>
  <c r="C2016" i="1"/>
  <c r="D2016" i="1"/>
  <c r="E2016" i="1"/>
  <c r="F2016" i="1"/>
  <c r="G2016" i="1"/>
  <c r="J2016" i="1"/>
  <c r="A2015" i="1"/>
  <c r="C2015" i="1"/>
  <c r="D2015" i="1"/>
  <c r="E2015" i="1"/>
  <c r="F2015" i="1"/>
  <c r="G2015" i="1"/>
  <c r="J2015" i="1"/>
  <c r="A2014" i="1"/>
  <c r="C2014" i="1"/>
  <c r="D2014" i="1"/>
  <c r="E2014" i="1"/>
  <c r="F2014" i="1"/>
  <c r="J2014" i="1"/>
  <c r="A2013" i="1"/>
  <c r="C2013" i="1"/>
  <c r="D2013" i="1"/>
  <c r="F2013" i="1"/>
  <c r="G2013" i="1"/>
  <c r="J2013" i="1"/>
  <c r="A2012" i="1"/>
  <c r="C2012" i="1"/>
  <c r="D2012" i="1"/>
  <c r="F2012" i="1"/>
  <c r="G2012" i="1"/>
  <c r="H2012" i="1"/>
  <c r="J2012" i="1"/>
  <c r="A2011" i="1"/>
  <c r="C2011" i="1"/>
  <c r="D2011" i="1"/>
  <c r="F2011" i="1"/>
  <c r="G2011" i="1"/>
  <c r="J2011" i="1"/>
  <c r="A2010" i="1"/>
  <c r="C2010" i="1"/>
  <c r="D2010" i="1"/>
  <c r="F2010" i="1"/>
  <c r="G2010" i="1"/>
  <c r="J2010" i="1"/>
  <c r="A2009" i="1"/>
  <c r="C2009" i="1"/>
  <c r="D2009" i="1"/>
  <c r="F2009" i="1"/>
  <c r="G2009" i="1"/>
  <c r="J2009" i="1"/>
  <c r="A2008" i="1"/>
  <c r="C2008" i="1"/>
  <c r="D2008" i="1"/>
  <c r="F2008" i="1"/>
  <c r="G2008" i="1"/>
  <c r="J2008" i="1"/>
  <c r="A2007" i="1"/>
  <c r="C2007" i="1"/>
  <c r="D2007" i="1"/>
  <c r="F2007" i="1"/>
  <c r="G2007" i="1"/>
  <c r="J2007" i="1"/>
  <c r="A2006" i="1"/>
  <c r="C2006" i="1"/>
  <c r="D2006" i="1"/>
  <c r="F2006" i="1"/>
  <c r="G2006" i="1"/>
  <c r="J2006" i="1"/>
  <c r="A2005" i="1"/>
  <c r="C2005" i="1"/>
  <c r="D2005" i="1"/>
  <c r="F2005" i="1"/>
  <c r="G2005" i="1"/>
  <c r="J2005" i="1"/>
  <c r="A2004" i="1"/>
  <c r="C2004" i="1"/>
  <c r="D2004" i="1"/>
  <c r="F2004" i="1"/>
  <c r="G2004" i="1"/>
  <c r="J2004" i="1"/>
  <c r="A2003" i="1"/>
  <c r="C2003" i="1"/>
  <c r="D2003" i="1"/>
  <c r="F2003" i="1"/>
  <c r="G2003" i="1"/>
  <c r="J2003" i="1"/>
  <c r="A2002" i="1"/>
  <c r="D2002" i="1"/>
  <c r="F2002" i="1"/>
  <c r="G2002" i="1"/>
  <c r="J2002" i="1"/>
  <c r="A2001" i="1"/>
  <c r="D2001" i="1"/>
  <c r="F2001" i="1"/>
  <c r="G2001" i="1"/>
  <c r="J2001" i="1"/>
  <c r="A2000" i="1"/>
  <c r="C2000" i="1"/>
  <c r="D2000" i="1"/>
  <c r="F2000" i="1"/>
  <c r="G2000" i="1"/>
  <c r="J2000" i="1"/>
  <c r="A1999" i="1"/>
  <c r="C1999" i="1"/>
  <c r="D1999" i="1"/>
  <c r="F1999" i="1"/>
  <c r="G1999" i="1"/>
  <c r="J1999" i="1"/>
  <c r="A1998" i="1"/>
  <c r="C1998" i="1"/>
  <c r="D1998" i="1"/>
  <c r="F1998" i="1"/>
  <c r="G1998" i="1"/>
  <c r="J1998" i="1"/>
  <c r="A1997" i="1"/>
  <c r="C1997" i="1"/>
  <c r="D1997" i="1"/>
  <c r="F1997" i="1"/>
  <c r="G1997" i="1"/>
  <c r="J1997" i="1"/>
  <c r="A1996" i="1"/>
  <c r="C1996" i="1"/>
  <c r="D1996" i="1"/>
  <c r="F1996" i="1"/>
  <c r="G1996" i="1"/>
  <c r="J1996" i="1"/>
  <c r="A1995" i="1"/>
  <c r="C1995" i="1"/>
  <c r="D1995" i="1"/>
  <c r="E1995" i="1"/>
  <c r="F1995" i="1"/>
  <c r="G1995" i="1"/>
  <c r="J1995" i="1"/>
  <c r="A1994" i="1"/>
  <c r="C1994" i="1"/>
  <c r="D1994" i="1"/>
  <c r="F1994" i="1"/>
  <c r="G1994" i="1"/>
  <c r="J1994" i="1"/>
  <c r="A1992" i="1"/>
  <c r="C1992" i="1"/>
  <c r="D1992" i="1"/>
  <c r="F1992" i="1"/>
  <c r="G1992" i="1"/>
  <c r="J1992" i="1"/>
  <c r="A1993" i="1"/>
  <c r="C1993" i="1"/>
  <c r="D1993" i="1"/>
  <c r="F1993" i="1"/>
  <c r="G1993" i="1"/>
  <c r="J1993" i="1"/>
  <c r="A1991" i="1"/>
  <c r="C1991" i="1"/>
  <c r="D1991" i="1"/>
  <c r="F1991" i="1"/>
  <c r="G1991" i="1"/>
  <c r="J1991" i="1"/>
  <c r="A1990" i="1"/>
  <c r="C1990" i="1"/>
  <c r="D1990" i="1"/>
  <c r="F1990" i="1"/>
  <c r="G1990" i="1"/>
  <c r="J1990" i="1"/>
  <c r="A1989" i="1"/>
  <c r="C1989" i="1"/>
  <c r="D1989" i="1"/>
  <c r="F1989" i="1"/>
  <c r="G1989" i="1"/>
  <c r="J1989" i="1"/>
  <c r="L1989" i="1"/>
  <c r="A1988" i="1"/>
  <c r="C1988" i="1"/>
  <c r="D1988" i="1"/>
  <c r="F1988" i="1"/>
  <c r="G1988" i="1"/>
  <c r="J1988" i="1"/>
  <c r="A1987" i="1"/>
  <c r="C1987" i="1"/>
  <c r="D1987" i="1"/>
  <c r="E1987" i="1"/>
  <c r="F1987" i="1"/>
  <c r="G1987" i="1"/>
  <c r="J1987" i="1"/>
  <c r="A1986" i="1"/>
  <c r="D1986" i="1"/>
  <c r="F1986" i="1"/>
  <c r="G1986" i="1"/>
  <c r="J1986" i="1"/>
  <c r="A1985" i="1"/>
  <c r="C1985" i="1"/>
  <c r="D1985" i="1"/>
  <c r="F1985" i="1"/>
  <c r="G1985" i="1"/>
  <c r="J1985" i="1"/>
  <c r="A1984" i="1"/>
  <c r="C1984" i="1"/>
  <c r="D1984" i="1"/>
  <c r="F1984" i="1"/>
  <c r="G1984" i="1"/>
  <c r="J1984" i="1"/>
  <c r="A1983" i="1"/>
  <c r="C1983" i="1"/>
  <c r="D1983" i="1"/>
  <c r="F1983" i="1"/>
  <c r="G1983" i="1"/>
  <c r="J1983" i="1"/>
  <c r="A1982" i="1"/>
  <c r="C1982" i="1"/>
  <c r="D1982" i="1"/>
  <c r="F1982" i="1"/>
  <c r="G1982" i="1"/>
  <c r="J1982" i="1"/>
  <c r="A1981" i="1"/>
  <c r="C1981" i="1"/>
  <c r="D1981" i="1"/>
  <c r="F1981" i="1"/>
  <c r="G1981" i="1"/>
  <c r="J1981" i="1"/>
  <c r="A1980" i="1"/>
  <c r="C1980" i="1"/>
  <c r="D1980" i="1"/>
  <c r="F1980" i="1"/>
  <c r="G1980" i="1"/>
  <c r="J1980" i="1"/>
  <c r="A1979" i="1"/>
  <c r="C1979" i="1"/>
  <c r="D1979" i="1"/>
  <c r="E1979" i="1"/>
  <c r="F1979" i="1"/>
  <c r="G1979" i="1"/>
  <c r="J1979" i="1"/>
  <c r="A1978" i="1"/>
  <c r="C1978" i="1"/>
  <c r="D1978" i="1"/>
  <c r="F1978" i="1"/>
  <c r="G1978" i="1"/>
  <c r="J1978" i="1"/>
  <c r="A1977" i="1"/>
  <c r="C1977" i="1"/>
  <c r="D1977" i="1"/>
  <c r="F1977" i="1"/>
  <c r="G1977" i="1"/>
  <c r="J1977" i="1"/>
  <c r="A1976" i="1"/>
  <c r="C1976" i="1"/>
  <c r="D1976" i="1"/>
  <c r="F1976" i="1"/>
  <c r="G1976" i="1"/>
  <c r="J1976" i="1"/>
  <c r="A1975" i="1"/>
  <c r="C1975" i="1"/>
  <c r="D1975" i="1"/>
  <c r="F1975" i="1"/>
  <c r="G1975" i="1"/>
  <c r="J1975" i="1"/>
  <c r="A1973" i="1"/>
  <c r="C1973" i="1"/>
  <c r="D1973" i="1"/>
  <c r="F1973" i="1"/>
  <c r="G1973" i="1"/>
  <c r="H1973" i="1"/>
  <c r="J1973" i="1"/>
  <c r="A1974" i="1"/>
  <c r="C1974" i="1"/>
  <c r="D1974" i="1"/>
  <c r="E1974" i="1"/>
  <c r="F1974" i="1"/>
  <c r="G1974" i="1"/>
  <c r="J1974" i="1"/>
  <c r="A1972" i="1"/>
  <c r="C1972" i="1"/>
  <c r="D1972" i="1"/>
  <c r="F1972" i="1"/>
  <c r="G1972" i="1"/>
  <c r="J1972" i="1"/>
  <c r="A1971" i="1"/>
  <c r="C1971" i="1"/>
  <c r="D1971" i="1"/>
  <c r="F1971" i="1"/>
  <c r="G1971" i="1"/>
  <c r="J1971" i="1"/>
  <c r="A1969" i="1"/>
  <c r="C1969" i="1"/>
  <c r="D1969" i="1"/>
  <c r="F1969" i="1"/>
  <c r="G1969" i="1"/>
  <c r="J1969" i="1"/>
  <c r="A1970" i="1"/>
  <c r="C1970" i="1"/>
  <c r="D1970" i="1"/>
  <c r="E1970" i="1"/>
  <c r="F1970" i="1"/>
  <c r="G1970" i="1"/>
  <c r="J1970" i="1"/>
  <c r="A1968" i="1"/>
  <c r="C1968" i="1"/>
  <c r="D1968" i="1"/>
  <c r="F1968" i="1"/>
  <c r="G1968" i="1"/>
  <c r="J1968" i="1"/>
  <c r="A1966" i="1"/>
  <c r="C1966" i="1"/>
  <c r="D1966" i="1"/>
  <c r="F1966" i="1"/>
  <c r="G1966" i="1"/>
  <c r="J1966" i="1"/>
  <c r="A1967" i="1"/>
  <c r="C1967" i="1"/>
  <c r="D1967" i="1"/>
  <c r="F1967" i="1"/>
  <c r="G1967" i="1"/>
  <c r="J1967" i="1"/>
  <c r="A1965" i="1"/>
  <c r="C1965" i="1"/>
  <c r="D1965" i="1"/>
  <c r="F1965" i="1"/>
  <c r="G1965" i="1"/>
  <c r="J1965" i="1"/>
  <c r="A1964" i="1"/>
  <c r="C1964" i="1"/>
  <c r="D1964" i="1"/>
  <c r="F1964" i="1"/>
  <c r="G1964" i="1"/>
  <c r="J1964" i="1"/>
  <c r="A1963" i="1"/>
  <c r="C1963" i="1"/>
  <c r="D1963" i="1"/>
  <c r="F1963" i="1"/>
  <c r="G1963" i="1"/>
  <c r="J1963" i="1"/>
  <c r="A1962" i="1"/>
  <c r="C1962" i="1"/>
  <c r="D1962" i="1"/>
  <c r="F1962" i="1"/>
  <c r="G1962" i="1"/>
  <c r="J1962" i="1"/>
  <c r="A1961" i="1"/>
  <c r="C1961" i="1"/>
  <c r="D1961" i="1"/>
  <c r="F1961" i="1"/>
  <c r="G1961" i="1"/>
  <c r="J1961" i="1"/>
  <c r="A1960" i="1"/>
  <c r="C1960" i="1"/>
  <c r="D1960" i="1"/>
  <c r="F1960" i="1"/>
  <c r="G1960" i="1"/>
  <c r="J1960" i="1"/>
  <c r="A1959" i="1"/>
  <c r="C1959" i="1"/>
  <c r="D1959" i="1"/>
  <c r="F1959" i="1"/>
  <c r="G1959" i="1"/>
  <c r="J1959" i="1"/>
  <c r="A1958" i="1"/>
  <c r="D1958" i="1"/>
  <c r="F1958" i="1"/>
  <c r="G1958" i="1"/>
  <c r="J1958" i="1"/>
  <c r="A1957" i="1"/>
  <c r="C1957" i="1"/>
  <c r="D1957" i="1"/>
  <c r="E1957" i="1"/>
  <c r="F1957" i="1"/>
  <c r="G1957" i="1"/>
  <c r="J1957" i="1"/>
  <c r="A1956" i="1"/>
  <c r="C1956" i="1"/>
  <c r="D1956" i="1"/>
  <c r="F1956" i="1"/>
  <c r="G1956" i="1"/>
  <c r="J1956" i="1"/>
  <c r="A1955" i="1"/>
  <c r="C1955" i="1"/>
  <c r="D1955" i="1"/>
  <c r="F1955" i="1"/>
  <c r="G1955" i="1"/>
  <c r="J1955" i="1"/>
  <c r="L1955" i="1"/>
  <c r="A1954" i="1"/>
  <c r="C1954" i="1"/>
  <c r="D1954" i="1"/>
  <c r="F1954" i="1"/>
  <c r="G1954" i="1"/>
  <c r="J1954" i="1"/>
  <c r="A1953" i="1"/>
  <c r="C1953" i="1"/>
  <c r="D1953" i="1"/>
  <c r="F1953" i="1"/>
  <c r="G1953" i="1"/>
  <c r="J1953" i="1"/>
  <c r="A1952" i="1"/>
  <c r="D1952" i="1"/>
  <c r="E1952" i="1"/>
  <c r="F1952" i="1"/>
  <c r="G1952" i="1"/>
  <c r="J1952" i="1"/>
  <c r="A1951" i="1"/>
  <c r="C1951" i="1"/>
  <c r="D1951" i="1"/>
  <c r="F1951" i="1"/>
  <c r="G1951" i="1"/>
  <c r="J1951" i="1"/>
  <c r="A1950" i="1"/>
  <c r="E1950" i="1"/>
  <c r="F1950" i="1"/>
  <c r="G1950" i="1"/>
  <c r="J1950" i="1"/>
  <c r="A1949" i="1"/>
  <c r="D1949" i="1"/>
  <c r="F1949" i="1"/>
  <c r="G1949" i="1"/>
  <c r="J1949" i="1"/>
  <c r="A1948" i="1"/>
  <c r="C1948" i="1"/>
  <c r="D1948" i="1"/>
  <c r="F1948" i="1"/>
  <c r="G1948" i="1"/>
  <c r="J1948" i="1"/>
  <c r="A1947" i="1"/>
  <c r="E1947" i="1"/>
  <c r="F1947" i="1"/>
  <c r="G1947" i="1"/>
  <c r="J1947" i="1"/>
  <c r="A1946" i="1"/>
  <c r="D1946" i="1"/>
  <c r="F1946" i="1"/>
  <c r="G1946" i="1"/>
  <c r="J1946" i="1"/>
  <c r="A1945" i="1"/>
  <c r="C1945" i="1"/>
  <c r="D1945" i="1"/>
  <c r="F1945" i="1"/>
  <c r="G1945" i="1"/>
  <c r="J1945" i="1"/>
  <c r="A1944" i="1"/>
  <c r="C1944" i="1"/>
  <c r="D1944" i="1"/>
  <c r="F1944" i="1"/>
  <c r="G1944" i="1"/>
  <c r="J1944" i="1"/>
  <c r="A1943" i="1"/>
  <c r="C1943" i="1"/>
  <c r="D1943" i="1"/>
  <c r="F1943" i="1"/>
  <c r="G1943" i="1"/>
  <c r="J1943" i="1"/>
  <c r="A1941" i="1"/>
  <c r="C1941" i="1"/>
  <c r="D1941" i="1"/>
  <c r="F1941" i="1"/>
  <c r="G1941" i="1"/>
  <c r="J1941" i="1"/>
  <c r="A1942" i="1"/>
  <c r="C1942" i="1"/>
  <c r="D1942" i="1"/>
  <c r="F1942" i="1"/>
  <c r="G1942" i="1"/>
  <c r="J1942" i="1"/>
  <c r="A1939" i="1"/>
  <c r="C1939" i="1"/>
  <c r="D1939" i="1"/>
  <c r="F1939" i="1"/>
  <c r="G1939" i="1"/>
  <c r="J1939" i="1"/>
  <c r="A1940" i="1"/>
  <c r="C1940" i="1"/>
  <c r="F1940" i="1"/>
  <c r="G1940" i="1"/>
  <c r="H1940" i="1"/>
  <c r="I1940" i="1"/>
  <c r="J1940" i="1"/>
  <c r="L1940" i="1"/>
  <c r="A1938" i="1"/>
  <c r="D1938" i="1"/>
  <c r="F1938" i="1"/>
  <c r="G1938" i="1"/>
  <c r="J1938" i="1"/>
  <c r="A1937" i="1"/>
  <c r="C1937" i="1"/>
  <c r="D1937" i="1"/>
  <c r="F1937" i="1"/>
  <c r="G1937" i="1"/>
  <c r="J1937" i="1"/>
  <c r="A1935" i="1"/>
  <c r="C1935" i="1"/>
  <c r="D1935" i="1"/>
  <c r="F1935" i="1"/>
  <c r="G1935" i="1"/>
  <c r="H1935" i="1"/>
  <c r="J1935" i="1"/>
  <c r="A1936" i="1"/>
  <c r="E1936" i="1"/>
  <c r="F1936" i="1"/>
  <c r="G1936" i="1"/>
  <c r="J1936" i="1"/>
  <c r="A1934" i="1"/>
  <c r="C1934" i="1"/>
  <c r="D1934" i="1"/>
  <c r="F1934" i="1"/>
  <c r="G1934" i="1"/>
  <c r="J1934" i="1"/>
  <c r="A1933" i="1"/>
  <c r="C1933" i="1"/>
  <c r="D1933" i="1"/>
  <c r="F1933" i="1"/>
  <c r="G1933" i="1"/>
  <c r="J1933" i="1"/>
  <c r="A1932" i="1"/>
  <c r="C1932" i="1"/>
  <c r="D1932" i="1"/>
  <c r="F1932" i="1"/>
  <c r="G1932" i="1"/>
  <c r="J1932" i="1"/>
  <c r="A1931" i="1"/>
  <c r="C1931" i="1"/>
  <c r="D1931" i="1"/>
  <c r="F1931" i="1"/>
  <c r="G1931" i="1"/>
  <c r="H1931" i="1"/>
  <c r="J1931" i="1"/>
  <c r="A1930" i="1"/>
  <c r="C1930" i="1"/>
  <c r="D1930" i="1"/>
  <c r="E1930" i="1"/>
  <c r="F1930" i="1"/>
  <c r="G1930" i="1"/>
  <c r="J1930" i="1"/>
  <c r="A1929" i="1"/>
  <c r="C1929" i="1"/>
  <c r="D1929" i="1"/>
  <c r="E1929" i="1"/>
  <c r="F1929" i="1"/>
  <c r="G1929" i="1"/>
  <c r="J1929" i="1"/>
  <c r="A1928" i="1"/>
  <c r="C1928" i="1"/>
  <c r="D1928" i="1"/>
  <c r="E1928" i="1"/>
  <c r="F1928" i="1"/>
  <c r="G1928" i="1"/>
  <c r="J1928" i="1"/>
  <c r="A1927" i="1"/>
  <c r="C1927" i="1"/>
  <c r="D1927" i="1"/>
  <c r="E1927" i="1"/>
  <c r="F1927" i="1"/>
  <c r="G1927" i="1"/>
  <c r="J1927" i="1"/>
  <c r="A1926" i="1"/>
  <c r="C1926" i="1"/>
  <c r="D1926" i="1"/>
  <c r="F1926" i="1"/>
  <c r="G1926" i="1"/>
  <c r="J1926" i="1"/>
  <c r="A1925" i="1"/>
  <c r="C1925" i="1"/>
  <c r="D1925" i="1"/>
  <c r="E1925" i="1"/>
  <c r="F1925" i="1"/>
  <c r="G1925" i="1"/>
  <c r="J1925" i="1"/>
  <c r="A1924" i="1"/>
  <c r="C1924" i="1"/>
  <c r="D1924" i="1"/>
  <c r="F1924" i="1"/>
  <c r="G1924" i="1"/>
  <c r="J1924" i="1"/>
  <c r="A1923" i="1"/>
  <c r="C1923" i="1"/>
  <c r="E1923" i="1"/>
  <c r="F1923" i="1"/>
  <c r="G1923" i="1"/>
  <c r="J1923" i="1"/>
  <c r="A1922" i="1"/>
  <c r="D1922" i="1"/>
  <c r="F1922" i="1"/>
  <c r="G1922" i="1"/>
  <c r="J1922" i="1"/>
  <c r="A1921" i="1"/>
  <c r="C1921" i="1"/>
  <c r="D1921" i="1"/>
  <c r="F1921" i="1"/>
  <c r="G1921" i="1"/>
  <c r="J1921" i="1"/>
  <c r="A1919" i="1"/>
  <c r="C1919" i="1"/>
  <c r="E1919" i="1"/>
  <c r="F1919" i="1"/>
  <c r="G1919" i="1"/>
  <c r="J1919" i="1"/>
  <c r="A1920" i="1"/>
  <c r="C1920" i="1"/>
  <c r="D1920" i="1"/>
  <c r="F1920" i="1"/>
  <c r="G1920" i="1"/>
  <c r="J1920" i="1"/>
  <c r="L1920" i="1"/>
  <c r="A1918" i="1"/>
  <c r="C1918" i="1"/>
  <c r="D1918" i="1"/>
  <c r="F1918" i="1"/>
  <c r="G1918" i="1"/>
  <c r="J1918" i="1"/>
  <c r="A1917" i="1"/>
  <c r="C1917" i="1"/>
  <c r="D1917" i="1"/>
  <c r="F1917" i="1"/>
  <c r="G1917" i="1"/>
  <c r="J1917" i="1"/>
  <c r="A1916" i="1"/>
  <c r="C1916" i="1"/>
  <c r="D1916" i="1"/>
  <c r="F1916" i="1"/>
  <c r="G1916" i="1"/>
  <c r="J1916" i="1"/>
  <c r="A1915" i="1"/>
  <c r="D1915" i="1"/>
  <c r="F1915" i="1"/>
  <c r="G1915" i="1"/>
  <c r="J1915" i="1"/>
  <c r="A1914" i="1"/>
  <c r="C1914" i="1"/>
  <c r="D1914" i="1"/>
  <c r="F1914" i="1"/>
  <c r="G1914" i="1"/>
  <c r="J1914" i="1"/>
  <c r="A1913" i="1"/>
  <c r="C1913" i="1"/>
  <c r="D1913" i="1"/>
  <c r="F1913" i="1"/>
  <c r="G1913" i="1"/>
  <c r="J1913" i="1"/>
  <c r="A1912" i="1"/>
  <c r="C1912" i="1"/>
  <c r="D1912" i="1"/>
  <c r="F1912" i="1"/>
  <c r="G1912" i="1"/>
  <c r="J1912" i="1"/>
  <c r="A1911" i="1"/>
  <c r="C1911" i="1"/>
  <c r="D1911" i="1"/>
  <c r="F1911" i="1"/>
  <c r="G1911" i="1"/>
  <c r="J1911" i="1"/>
  <c r="A1910" i="1"/>
  <c r="C1910" i="1"/>
  <c r="D1910" i="1"/>
  <c r="F1910" i="1"/>
  <c r="G1910" i="1"/>
  <c r="J1910" i="1"/>
  <c r="A1909" i="1"/>
  <c r="C1909" i="1"/>
  <c r="D1909" i="1"/>
  <c r="F1909" i="1"/>
  <c r="G1909" i="1"/>
  <c r="J1909" i="1"/>
  <c r="A1908" i="1"/>
  <c r="D1908" i="1"/>
  <c r="E1908" i="1"/>
  <c r="F1908" i="1"/>
  <c r="G1908" i="1"/>
  <c r="J1908" i="1"/>
  <c r="A1907" i="1"/>
  <c r="D1907" i="1"/>
  <c r="E1907" i="1"/>
  <c r="F1907" i="1"/>
  <c r="G1907" i="1"/>
  <c r="J1907" i="1"/>
  <c r="A1906" i="1"/>
  <c r="C1906" i="1"/>
  <c r="D1906" i="1"/>
  <c r="E1906" i="1"/>
  <c r="F1906" i="1"/>
  <c r="G1906" i="1"/>
  <c r="J1906" i="1"/>
  <c r="A1904" i="1"/>
  <c r="C1904" i="1"/>
  <c r="D1904" i="1"/>
  <c r="F1904" i="1"/>
  <c r="G1904" i="1"/>
  <c r="J1904" i="1"/>
  <c r="A1905" i="1"/>
  <c r="D1905" i="1"/>
  <c r="F1905" i="1"/>
  <c r="G1905" i="1"/>
  <c r="J1905" i="1"/>
  <c r="A1903" i="1"/>
  <c r="C1903" i="1"/>
  <c r="D1903" i="1"/>
  <c r="F1903" i="1"/>
  <c r="G1903" i="1"/>
  <c r="J1903" i="1"/>
  <c r="L1903" i="1"/>
  <c r="A1902" i="1"/>
  <c r="C1902" i="1"/>
  <c r="D1902" i="1"/>
  <c r="F1902" i="1"/>
  <c r="G1902" i="1"/>
  <c r="J1902" i="1"/>
  <c r="A1901" i="1"/>
  <c r="C1901" i="1"/>
  <c r="D1901" i="1"/>
  <c r="F1901" i="1"/>
  <c r="G1901" i="1"/>
  <c r="J1901" i="1"/>
  <c r="A1900" i="1"/>
  <c r="C1900" i="1"/>
  <c r="D1900" i="1"/>
  <c r="F1900" i="1"/>
  <c r="G1900" i="1"/>
  <c r="J1900" i="1"/>
  <c r="A1898" i="1"/>
  <c r="C1898" i="1"/>
  <c r="D1898" i="1"/>
  <c r="F1898" i="1"/>
  <c r="G1898" i="1"/>
  <c r="J1898" i="1"/>
  <c r="A1899" i="1"/>
  <c r="C1899" i="1"/>
  <c r="D1899" i="1"/>
  <c r="F1899" i="1"/>
  <c r="G1899" i="1"/>
  <c r="J1899" i="1"/>
  <c r="A1897" i="1"/>
  <c r="C1897" i="1"/>
  <c r="D1897" i="1"/>
  <c r="F1897" i="1"/>
  <c r="G1897" i="1"/>
  <c r="J1897" i="1"/>
  <c r="A1896" i="1"/>
  <c r="C1896" i="1"/>
  <c r="D1896" i="1"/>
  <c r="F1896" i="1"/>
  <c r="G1896" i="1"/>
  <c r="J1896" i="1"/>
  <c r="A1895" i="1"/>
  <c r="C1895" i="1"/>
  <c r="D1895" i="1"/>
  <c r="F1895" i="1"/>
  <c r="G1895" i="1"/>
  <c r="J1895" i="1"/>
  <c r="A1894" i="1"/>
  <c r="D1894" i="1"/>
  <c r="F1894" i="1"/>
  <c r="G1894" i="1"/>
  <c r="J1894" i="1"/>
  <c r="A1893" i="1"/>
  <c r="C1893" i="1"/>
  <c r="D1893" i="1"/>
  <c r="F1893" i="1"/>
  <c r="G1893" i="1"/>
  <c r="J1893" i="1"/>
  <c r="A1891" i="1"/>
  <c r="C1891" i="1"/>
  <c r="D1891" i="1"/>
  <c r="F1891" i="1"/>
  <c r="G1891" i="1"/>
  <c r="H1891" i="1"/>
  <c r="J1891" i="1"/>
  <c r="A1892" i="1"/>
  <c r="C1892" i="1"/>
  <c r="D1892" i="1"/>
  <c r="F1892" i="1"/>
  <c r="G1892" i="1"/>
  <c r="J1892" i="1"/>
  <c r="A1890" i="1"/>
  <c r="E1890" i="1"/>
  <c r="F1890" i="1"/>
  <c r="G1890" i="1"/>
  <c r="J1890" i="1"/>
  <c r="A1889" i="1"/>
  <c r="C1889" i="1"/>
  <c r="D1889" i="1"/>
  <c r="F1889" i="1"/>
  <c r="G1889" i="1"/>
  <c r="J1889" i="1"/>
  <c r="A1888" i="1"/>
  <c r="C1888" i="1"/>
  <c r="D1888" i="1"/>
  <c r="F1888" i="1"/>
  <c r="G1888" i="1"/>
  <c r="J1888" i="1"/>
  <c r="A1887" i="1"/>
  <c r="C1887" i="1"/>
  <c r="D1887" i="1"/>
  <c r="F1887" i="1"/>
  <c r="G1887" i="1"/>
  <c r="J1887" i="1"/>
  <c r="L1887" i="1"/>
  <c r="A1886" i="1"/>
  <c r="C1886" i="1"/>
  <c r="D1886" i="1"/>
  <c r="E1886" i="1"/>
  <c r="F1886" i="1"/>
  <c r="G1886" i="1"/>
  <c r="J1886" i="1"/>
  <c r="A1884" i="1"/>
  <c r="D1884" i="1"/>
  <c r="F1884" i="1"/>
  <c r="G1884" i="1"/>
  <c r="J1884" i="1"/>
  <c r="A1885" i="1"/>
  <c r="C1885" i="1"/>
  <c r="D1885" i="1"/>
  <c r="F1885" i="1"/>
  <c r="G1885" i="1"/>
  <c r="J1885" i="1"/>
  <c r="A1883" i="1"/>
  <c r="C1883" i="1"/>
  <c r="D1883" i="1"/>
  <c r="F1883" i="1"/>
  <c r="G1883" i="1"/>
  <c r="J1883" i="1"/>
  <c r="A1882" i="1"/>
  <c r="C1882" i="1"/>
  <c r="D1882" i="1"/>
  <c r="F1882" i="1"/>
  <c r="G1882" i="1"/>
  <c r="J1882" i="1"/>
  <c r="A1881" i="1"/>
  <c r="C1881" i="1"/>
  <c r="D1881" i="1"/>
  <c r="F1881" i="1"/>
  <c r="G1881" i="1"/>
  <c r="J1881" i="1"/>
  <c r="A1879" i="1"/>
  <c r="C1879" i="1"/>
  <c r="D1879" i="1"/>
  <c r="F1879" i="1"/>
  <c r="G1879" i="1"/>
  <c r="J1879" i="1"/>
  <c r="A1880" i="1"/>
  <c r="C1880" i="1"/>
  <c r="D1880" i="1"/>
  <c r="F1880" i="1"/>
  <c r="G1880" i="1"/>
  <c r="J1880" i="1"/>
  <c r="A1878" i="1"/>
  <c r="C1878" i="1"/>
  <c r="D1878" i="1"/>
  <c r="F1878" i="1"/>
  <c r="G1878" i="1"/>
  <c r="H1878" i="1"/>
  <c r="J1878" i="1"/>
  <c r="A1877" i="1"/>
  <c r="C1877" i="1"/>
  <c r="D1877" i="1"/>
  <c r="E1877" i="1"/>
  <c r="F1877" i="1"/>
  <c r="G1877" i="1"/>
  <c r="J1877" i="1"/>
  <c r="A1876" i="1"/>
  <c r="C1876" i="1"/>
  <c r="D1876" i="1"/>
  <c r="F1876" i="1"/>
  <c r="G1876" i="1"/>
  <c r="J1876" i="1"/>
  <c r="A1875" i="1"/>
  <c r="C1875" i="1"/>
  <c r="D1875" i="1"/>
  <c r="F1875" i="1"/>
  <c r="G1875" i="1"/>
  <c r="J1875" i="1"/>
  <c r="L1875" i="1"/>
  <c r="A1874" i="1"/>
  <c r="C1874" i="1"/>
  <c r="D1874" i="1"/>
  <c r="E1874" i="1"/>
  <c r="F1874" i="1"/>
  <c r="G1874" i="1"/>
  <c r="J1874" i="1"/>
  <c r="A1873" i="1"/>
  <c r="C1873" i="1"/>
  <c r="D1873" i="1"/>
  <c r="F1873" i="1"/>
  <c r="G1873" i="1"/>
  <c r="J1873" i="1"/>
  <c r="L1873" i="1"/>
  <c r="A1872" i="1"/>
  <c r="C1872" i="1"/>
  <c r="D1872" i="1"/>
  <c r="E1872" i="1"/>
  <c r="F1872" i="1"/>
  <c r="G1872" i="1"/>
  <c r="J1872" i="1"/>
  <c r="A1871" i="1"/>
  <c r="C1871" i="1"/>
  <c r="D1871" i="1"/>
  <c r="E1871" i="1"/>
  <c r="F1871" i="1"/>
  <c r="G1871" i="1"/>
  <c r="J1871" i="1"/>
  <c r="A1870" i="1"/>
  <c r="C1870" i="1"/>
  <c r="D1870" i="1"/>
  <c r="F1870" i="1"/>
  <c r="G1870" i="1"/>
  <c r="J1870" i="1"/>
  <c r="A1869" i="1"/>
  <c r="C1869" i="1"/>
  <c r="D1869" i="1"/>
  <c r="F1869" i="1"/>
  <c r="G1869" i="1"/>
  <c r="J1869" i="1"/>
  <c r="A1868" i="1"/>
  <c r="C1868" i="1"/>
  <c r="D1868" i="1"/>
  <c r="F1868" i="1"/>
  <c r="G1868" i="1"/>
  <c r="J1868" i="1"/>
  <c r="A1867" i="1"/>
  <c r="C1867" i="1"/>
  <c r="D1867" i="1"/>
  <c r="F1867" i="1"/>
  <c r="G1867" i="1"/>
  <c r="J1867" i="1"/>
  <c r="A1866" i="1"/>
  <c r="C1866" i="1"/>
  <c r="D1866" i="1"/>
  <c r="E1866" i="1"/>
  <c r="F1866" i="1"/>
  <c r="G1866" i="1"/>
  <c r="J1866" i="1"/>
  <c r="A1865" i="1"/>
  <c r="C1865" i="1"/>
  <c r="D1865" i="1"/>
  <c r="E1865" i="1"/>
  <c r="F1865" i="1"/>
  <c r="G1865" i="1"/>
  <c r="J1865" i="1"/>
  <c r="A1864" i="1"/>
  <c r="C1864" i="1"/>
  <c r="D1864" i="1"/>
  <c r="E1864" i="1"/>
  <c r="F1864" i="1"/>
  <c r="G1864" i="1"/>
  <c r="J1864" i="1"/>
  <c r="A1863" i="1"/>
  <c r="C1863" i="1"/>
  <c r="D1863" i="1"/>
  <c r="E1863" i="1"/>
  <c r="F1863" i="1"/>
  <c r="G1863" i="1"/>
  <c r="J1863" i="1"/>
  <c r="A1862" i="1"/>
  <c r="C1862" i="1"/>
  <c r="D1862" i="1"/>
  <c r="F1862" i="1"/>
  <c r="G1862" i="1"/>
  <c r="J1862" i="1"/>
  <c r="A1861" i="1"/>
  <c r="C1861" i="1"/>
  <c r="D1861" i="1"/>
  <c r="F1861" i="1"/>
  <c r="G1861" i="1"/>
  <c r="J1861" i="1"/>
  <c r="A1860" i="1"/>
  <c r="C1860" i="1"/>
  <c r="D1860" i="1"/>
  <c r="F1860" i="1"/>
  <c r="G1860" i="1"/>
  <c r="J1860" i="1"/>
  <c r="A1859" i="1"/>
  <c r="C1859" i="1"/>
  <c r="D1859" i="1"/>
  <c r="F1859" i="1"/>
  <c r="G1859" i="1"/>
  <c r="J1859" i="1"/>
  <c r="A1858" i="1"/>
  <c r="C1858" i="1"/>
  <c r="D1858" i="1"/>
  <c r="F1858" i="1"/>
  <c r="G1858" i="1"/>
  <c r="J1858" i="1"/>
  <c r="A1857" i="1"/>
  <c r="C1857" i="1"/>
  <c r="D1857" i="1"/>
  <c r="F1857" i="1"/>
  <c r="G1857" i="1"/>
  <c r="J1857" i="1"/>
  <c r="A1856" i="1"/>
  <c r="C1856" i="1"/>
  <c r="D1856" i="1"/>
  <c r="F1856" i="1"/>
  <c r="G1856" i="1"/>
  <c r="J1856" i="1"/>
  <c r="L1856" i="1"/>
  <c r="A1855" i="1"/>
  <c r="C1855" i="1"/>
  <c r="D1855" i="1"/>
  <c r="F1855" i="1"/>
  <c r="G1855" i="1"/>
  <c r="J1855" i="1"/>
  <c r="L1855" i="1"/>
  <c r="A1854" i="1"/>
  <c r="D1854" i="1"/>
  <c r="F1854" i="1"/>
  <c r="G1854" i="1"/>
  <c r="J1854" i="1"/>
  <c r="A1853" i="1"/>
  <c r="C1853" i="1"/>
  <c r="D1853" i="1"/>
  <c r="F1853" i="1"/>
  <c r="G1853" i="1"/>
  <c r="J1853" i="1"/>
  <c r="A1852" i="1"/>
  <c r="C1852" i="1"/>
  <c r="D1852" i="1"/>
  <c r="F1852" i="1"/>
  <c r="G1852" i="1"/>
  <c r="J1852" i="1"/>
  <c r="A1851" i="1"/>
  <c r="D1851" i="1"/>
  <c r="F1851" i="1"/>
  <c r="G1851" i="1"/>
  <c r="J1851" i="1"/>
  <c r="A1850" i="1"/>
  <c r="C1850" i="1"/>
  <c r="D1850" i="1"/>
  <c r="E1850" i="1"/>
  <c r="F1850" i="1"/>
  <c r="G1850" i="1"/>
  <c r="J1850" i="1"/>
  <c r="A1849" i="1"/>
  <c r="D1849" i="1"/>
  <c r="F1849" i="1"/>
  <c r="G1849" i="1"/>
  <c r="J1849" i="1"/>
  <c r="A1848" i="1"/>
  <c r="C1848" i="1"/>
  <c r="D1848" i="1"/>
  <c r="E1848" i="1"/>
  <c r="F1848" i="1"/>
  <c r="G1848" i="1"/>
  <c r="J1848" i="1"/>
  <c r="A1847" i="1"/>
  <c r="C1847" i="1"/>
  <c r="D1847" i="1"/>
  <c r="F1847" i="1"/>
  <c r="G1847" i="1"/>
  <c r="J1847" i="1"/>
  <c r="A1846" i="1"/>
  <c r="C1846" i="1"/>
  <c r="D1846" i="1"/>
  <c r="F1846" i="1"/>
  <c r="G1846" i="1"/>
  <c r="J1846" i="1"/>
  <c r="A1845" i="1"/>
  <c r="C1845" i="1"/>
  <c r="D1845" i="1"/>
  <c r="F1845" i="1"/>
  <c r="G1845" i="1"/>
  <c r="J1845" i="1"/>
  <c r="A1844" i="1"/>
  <c r="C1844" i="1"/>
  <c r="D1844" i="1"/>
  <c r="F1844" i="1"/>
  <c r="G1844" i="1"/>
  <c r="J1844" i="1"/>
  <c r="A1843" i="1"/>
  <c r="D1843" i="1"/>
  <c r="F1843" i="1"/>
  <c r="G1843" i="1"/>
  <c r="J1843" i="1"/>
  <c r="A1842" i="1"/>
  <c r="C1842" i="1"/>
  <c r="D1842" i="1"/>
  <c r="F1842" i="1"/>
  <c r="G1842" i="1"/>
  <c r="H1842" i="1"/>
  <c r="J1842" i="1"/>
  <c r="A1841" i="1"/>
  <c r="C1841" i="1"/>
  <c r="D1841" i="1"/>
  <c r="F1841" i="1"/>
  <c r="G1841" i="1"/>
  <c r="J1841" i="1"/>
  <c r="A1840" i="1"/>
  <c r="C1840" i="1"/>
  <c r="D1840" i="1"/>
  <c r="F1840" i="1"/>
  <c r="G1840" i="1"/>
  <c r="J1840" i="1"/>
  <c r="A1839" i="1"/>
  <c r="C1839" i="1"/>
  <c r="D1839" i="1"/>
  <c r="F1839" i="1"/>
  <c r="G1839" i="1"/>
  <c r="J1839" i="1"/>
  <c r="A1837" i="1"/>
  <c r="C1837" i="1"/>
  <c r="D1837" i="1"/>
  <c r="F1837" i="1"/>
  <c r="G1837" i="1"/>
  <c r="J1837" i="1"/>
  <c r="L1837" i="1"/>
  <c r="A1838" i="1"/>
  <c r="C1838" i="1"/>
  <c r="D1838" i="1"/>
  <c r="F1838" i="1"/>
  <c r="G1838" i="1"/>
  <c r="J1838" i="1"/>
  <c r="A1836" i="1"/>
  <c r="C1836" i="1"/>
  <c r="D1836" i="1"/>
  <c r="F1836" i="1"/>
  <c r="G1836" i="1"/>
  <c r="J1836" i="1"/>
  <c r="A1835" i="1"/>
  <c r="C1835" i="1"/>
  <c r="D1835" i="1"/>
  <c r="F1835" i="1"/>
  <c r="G1835" i="1"/>
  <c r="J1835" i="1"/>
  <c r="L1835" i="1"/>
  <c r="A1834" i="1"/>
  <c r="C1834" i="1"/>
  <c r="D1834" i="1"/>
  <c r="F1834" i="1"/>
  <c r="G1834" i="1"/>
  <c r="J1834" i="1"/>
  <c r="L1834" i="1"/>
  <c r="A1833" i="1"/>
  <c r="C1833" i="1"/>
  <c r="D1833" i="1"/>
  <c r="F1833" i="1"/>
  <c r="G1833" i="1"/>
  <c r="J1833" i="1"/>
  <c r="A1832" i="1"/>
  <c r="C1832" i="1"/>
  <c r="D1832" i="1"/>
  <c r="F1832" i="1"/>
  <c r="G1832" i="1"/>
  <c r="J1832" i="1"/>
  <c r="A1831" i="1"/>
  <c r="C1831" i="1"/>
  <c r="D1831" i="1"/>
  <c r="F1831" i="1"/>
  <c r="G1831" i="1"/>
  <c r="J1831" i="1"/>
  <c r="A1830" i="1"/>
  <c r="C1830" i="1"/>
  <c r="D1830" i="1"/>
  <c r="F1830" i="1"/>
  <c r="G1830" i="1"/>
  <c r="J1830" i="1"/>
  <c r="A1829" i="1"/>
  <c r="C1829" i="1"/>
  <c r="D1829" i="1"/>
  <c r="E1829" i="1"/>
  <c r="F1829" i="1"/>
  <c r="G1829" i="1"/>
  <c r="J1829" i="1"/>
  <c r="A1828" i="1"/>
  <c r="C1828" i="1"/>
  <c r="D1828" i="1"/>
  <c r="F1828" i="1"/>
  <c r="G1828" i="1"/>
  <c r="J1828" i="1"/>
  <c r="A1827" i="1"/>
  <c r="D1827" i="1"/>
  <c r="E1827" i="1"/>
  <c r="F1827" i="1"/>
  <c r="G1827" i="1"/>
  <c r="J1827" i="1"/>
  <c r="A1826" i="1"/>
  <c r="C1826" i="1"/>
  <c r="D1826" i="1"/>
  <c r="F1826" i="1"/>
  <c r="G1826" i="1"/>
  <c r="J1826" i="1"/>
  <c r="A1825" i="1"/>
  <c r="C1825" i="1"/>
  <c r="D1825" i="1"/>
  <c r="F1825" i="1"/>
  <c r="G1825" i="1"/>
  <c r="J1825" i="1"/>
  <c r="A1824" i="1"/>
  <c r="C1824" i="1"/>
  <c r="D1824" i="1"/>
  <c r="F1824" i="1"/>
  <c r="G1824" i="1"/>
  <c r="J1824" i="1"/>
  <c r="A1823" i="1"/>
  <c r="D1823" i="1"/>
  <c r="F1823" i="1"/>
  <c r="G1823" i="1"/>
  <c r="J1823" i="1"/>
  <c r="A1822" i="1"/>
  <c r="C1822" i="1"/>
  <c r="D1822" i="1"/>
  <c r="F1822" i="1"/>
  <c r="G1822" i="1"/>
  <c r="J1822" i="1"/>
  <c r="A1821" i="1"/>
  <c r="C1821" i="1"/>
  <c r="D1821" i="1"/>
  <c r="E1821" i="1"/>
  <c r="F1821" i="1"/>
  <c r="G1821" i="1"/>
  <c r="J1821" i="1"/>
  <c r="A1820" i="1"/>
  <c r="C1820" i="1"/>
  <c r="D1820" i="1"/>
  <c r="F1820" i="1"/>
  <c r="G1820" i="1"/>
  <c r="J1820" i="1"/>
  <c r="A1819" i="1"/>
  <c r="C1819" i="1"/>
  <c r="D1819" i="1"/>
  <c r="E1819" i="1"/>
  <c r="F1819" i="1"/>
  <c r="G1819" i="1"/>
  <c r="J1819" i="1"/>
  <c r="A1818" i="1"/>
  <c r="C1818" i="1"/>
  <c r="D1818" i="1"/>
  <c r="F1818" i="1"/>
  <c r="G1818" i="1"/>
  <c r="J1818" i="1"/>
  <c r="A1817" i="1"/>
  <c r="C1817" i="1"/>
  <c r="D1817" i="1"/>
  <c r="F1817" i="1"/>
  <c r="G1817" i="1"/>
  <c r="J1817" i="1"/>
  <c r="A1815" i="1"/>
  <c r="D1815" i="1"/>
  <c r="F1815" i="1"/>
  <c r="G1815" i="1"/>
  <c r="J1815" i="1"/>
  <c r="A1816" i="1"/>
  <c r="C1816" i="1"/>
  <c r="D1816" i="1"/>
  <c r="F1816" i="1"/>
  <c r="G1816" i="1"/>
  <c r="J1816" i="1"/>
  <c r="A1814" i="1"/>
  <c r="C1814" i="1"/>
  <c r="D1814" i="1"/>
  <c r="F1814" i="1"/>
  <c r="G1814" i="1"/>
  <c r="J1814" i="1"/>
  <c r="A1813" i="1"/>
  <c r="C1813" i="1"/>
  <c r="D1813" i="1"/>
  <c r="F1813" i="1"/>
  <c r="G1813" i="1"/>
  <c r="J1813" i="1"/>
  <c r="A1812" i="1"/>
  <c r="D1812" i="1"/>
  <c r="F1812" i="1"/>
  <c r="G1812" i="1"/>
  <c r="J1812" i="1"/>
  <c r="A1811" i="1"/>
  <c r="C1811" i="1"/>
  <c r="D1811" i="1"/>
  <c r="F1811" i="1"/>
  <c r="G1811" i="1"/>
  <c r="J1811" i="1"/>
  <c r="A1810" i="1"/>
  <c r="C1810" i="1"/>
  <c r="D1810" i="1"/>
  <c r="F1810" i="1"/>
  <c r="G1810" i="1"/>
  <c r="J1810" i="1"/>
  <c r="L1810" i="1"/>
  <c r="A1809" i="1"/>
  <c r="C1809" i="1"/>
  <c r="D1809" i="1"/>
  <c r="F1809" i="1"/>
  <c r="G1809" i="1"/>
  <c r="J1809" i="1"/>
  <c r="A1808" i="1"/>
  <c r="C1808" i="1"/>
  <c r="D1808" i="1"/>
  <c r="F1808" i="1"/>
  <c r="G1808" i="1"/>
  <c r="J1808" i="1"/>
  <c r="A1807" i="1"/>
  <c r="C1807" i="1"/>
  <c r="D1807" i="1"/>
  <c r="F1807" i="1"/>
  <c r="G1807" i="1"/>
  <c r="J1807" i="1"/>
  <c r="A1806" i="1"/>
  <c r="C1806" i="1"/>
  <c r="D1806" i="1"/>
  <c r="F1806" i="1"/>
  <c r="G1806" i="1"/>
  <c r="J1806" i="1"/>
  <c r="A1805" i="1"/>
  <c r="C1805" i="1"/>
  <c r="D1805" i="1"/>
  <c r="F1805" i="1"/>
  <c r="G1805" i="1"/>
  <c r="J1805" i="1"/>
  <c r="A1804" i="1"/>
  <c r="C1804" i="1"/>
  <c r="D1804" i="1"/>
  <c r="F1804" i="1"/>
  <c r="G1804" i="1"/>
  <c r="J1804" i="1"/>
  <c r="A1803" i="1"/>
  <c r="D1803" i="1"/>
  <c r="F1803" i="1"/>
  <c r="G1803" i="1"/>
  <c r="J1803" i="1"/>
  <c r="A1802" i="1"/>
  <c r="C1802" i="1"/>
  <c r="D1802" i="1"/>
  <c r="F1802" i="1"/>
  <c r="G1802" i="1"/>
  <c r="J1802" i="1"/>
  <c r="A1801" i="1"/>
  <c r="C1801" i="1"/>
  <c r="D1801" i="1"/>
  <c r="F1801" i="1"/>
  <c r="G1801" i="1"/>
  <c r="J1801" i="1"/>
  <c r="A1800" i="1"/>
  <c r="C1800" i="1"/>
  <c r="D1800" i="1"/>
  <c r="F1800" i="1"/>
  <c r="G1800" i="1"/>
  <c r="H1800" i="1"/>
  <c r="J1800" i="1"/>
  <c r="A1799" i="1"/>
  <c r="C1799" i="1"/>
  <c r="D1799" i="1"/>
  <c r="F1799" i="1"/>
  <c r="G1799" i="1"/>
  <c r="J1799" i="1"/>
  <c r="A1798" i="1"/>
  <c r="D1798" i="1"/>
  <c r="F1798" i="1"/>
  <c r="G1798" i="1"/>
  <c r="J1798" i="1"/>
  <c r="A1797" i="1"/>
  <c r="D1797" i="1"/>
  <c r="F1797" i="1"/>
  <c r="G1797" i="1"/>
  <c r="J1797" i="1"/>
  <c r="A1796" i="1"/>
  <c r="C1796" i="1"/>
  <c r="E1796" i="1"/>
  <c r="F1796" i="1"/>
  <c r="G1796" i="1"/>
  <c r="J1796" i="1"/>
  <c r="A1795" i="1"/>
  <c r="C1795" i="1"/>
  <c r="D1795" i="1"/>
  <c r="F1795" i="1"/>
  <c r="G1795" i="1"/>
  <c r="J1795" i="1"/>
  <c r="A1794" i="1"/>
  <c r="C1794" i="1"/>
  <c r="D1794" i="1"/>
  <c r="F1794" i="1"/>
  <c r="G1794" i="1"/>
  <c r="J1794" i="1"/>
  <c r="A1793" i="1"/>
  <c r="C1793" i="1"/>
  <c r="D1793" i="1"/>
  <c r="F1793" i="1"/>
  <c r="G1793" i="1"/>
  <c r="J1793" i="1"/>
  <c r="A1792" i="1"/>
  <c r="C1792" i="1"/>
  <c r="D1792" i="1"/>
  <c r="E1792" i="1"/>
  <c r="F1792" i="1"/>
  <c r="G1792" i="1"/>
  <c r="J1792" i="1"/>
  <c r="A1791" i="1"/>
  <c r="C1791" i="1"/>
  <c r="D1791" i="1"/>
  <c r="E1791" i="1"/>
  <c r="F1791" i="1"/>
  <c r="G1791" i="1"/>
  <c r="J1791" i="1"/>
  <c r="A1790" i="1"/>
  <c r="C1790" i="1"/>
  <c r="D1790" i="1"/>
  <c r="E1790" i="1"/>
  <c r="F1790" i="1"/>
  <c r="G1790" i="1"/>
  <c r="J1790" i="1"/>
  <c r="A1789" i="1"/>
  <c r="D1789" i="1"/>
  <c r="F1789" i="1"/>
  <c r="G1789" i="1"/>
  <c r="J1789" i="1"/>
  <c r="A1788" i="1"/>
  <c r="C1788" i="1"/>
  <c r="D1788" i="1"/>
  <c r="F1788" i="1"/>
  <c r="G1788" i="1"/>
  <c r="J1788" i="1"/>
  <c r="A1787" i="1"/>
  <c r="C1787" i="1"/>
  <c r="D1787" i="1"/>
  <c r="F1787" i="1"/>
  <c r="G1787" i="1"/>
  <c r="J1787" i="1"/>
  <c r="A1786" i="1"/>
  <c r="C1786" i="1"/>
  <c r="D1786" i="1"/>
  <c r="F1786" i="1"/>
  <c r="G1786" i="1"/>
  <c r="J1786" i="1"/>
  <c r="A1785" i="1"/>
  <c r="C1785" i="1"/>
  <c r="D1785" i="1"/>
  <c r="F1785" i="1"/>
  <c r="G1785" i="1"/>
  <c r="J1785" i="1"/>
  <c r="L1785" i="1"/>
  <c r="A1784" i="1"/>
  <c r="D1784" i="1"/>
  <c r="F1784" i="1"/>
  <c r="G1784" i="1"/>
  <c r="J1784" i="1"/>
  <c r="A1783" i="1"/>
  <c r="C1783" i="1"/>
  <c r="D1783" i="1"/>
  <c r="E1783" i="1"/>
  <c r="F1783" i="1"/>
  <c r="G1783" i="1"/>
  <c r="J1783" i="1"/>
  <c r="A1782" i="1"/>
  <c r="C1782" i="1"/>
  <c r="D1782" i="1"/>
  <c r="F1782" i="1"/>
  <c r="G1782" i="1"/>
  <c r="J1782" i="1"/>
  <c r="A1781" i="1"/>
  <c r="C1781" i="1"/>
  <c r="D1781" i="1"/>
  <c r="F1781" i="1"/>
  <c r="G1781" i="1"/>
  <c r="J1781" i="1"/>
  <c r="L1781" i="1"/>
  <c r="A1780" i="1"/>
  <c r="C1780" i="1"/>
  <c r="D1780" i="1"/>
  <c r="F1780" i="1"/>
  <c r="G1780" i="1"/>
  <c r="J1780" i="1"/>
  <c r="L1780" i="1"/>
  <c r="A1779" i="1"/>
  <c r="D1779" i="1"/>
  <c r="F1779" i="1"/>
  <c r="G1779" i="1"/>
  <c r="J1779" i="1"/>
  <c r="A1778" i="1"/>
  <c r="C1778" i="1"/>
  <c r="D1778" i="1"/>
  <c r="F1778" i="1"/>
  <c r="G1778" i="1"/>
  <c r="J1778" i="1"/>
  <c r="L1778" i="1"/>
  <c r="A1777" i="1"/>
  <c r="C1777" i="1"/>
  <c r="D1777" i="1"/>
  <c r="F1777" i="1"/>
  <c r="G1777" i="1"/>
  <c r="J1777" i="1"/>
  <c r="L1777" i="1"/>
  <c r="A1776" i="1"/>
  <c r="C1776" i="1"/>
  <c r="D1776" i="1"/>
  <c r="F1776" i="1"/>
  <c r="G1776" i="1"/>
  <c r="H1776" i="1"/>
  <c r="J1776" i="1"/>
  <c r="A1775" i="1"/>
  <c r="C1775" i="1"/>
  <c r="D1775" i="1"/>
  <c r="F1775" i="1"/>
  <c r="G1775" i="1"/>
  <c r="H1775" i="1"/>
  <c r="J1775" i="1"/>
  <c r="L1775" i="1"/>
  <c r="A1774" i="1"/>
  <c r="C1774" i="1"/>
  <c r="D1774" i="1"/>
  <c r="E1774" i="1"/>
  <c r="F1774" i="1"/>
  <c r="G1774" i="1"/>
  <c r="J1774" i="1"/>
  <c r="A1773" i="1"/>
  <c r="C1773" i="1"/>
  <c r="D1773" i="1"/>
  <c r="F1773" i="1"/>
  <c r="G1773" i="1"/>
  <c r="H1773" i="1"/>
  <c r="J1773" i="1"/>
  <c r="L1773" i="1"/>
  <c r="A1772" i="1"/>
  <c r="C1772" i="1"/>
  <c r="D1772" i="1"/>
  <c r="F1772" i="1"/>
  <c r="G1772" i="1"/>
  <c r="H1772" i="1"/>
  <c r="J1772" i="1"/>
  <c r="L1772" i="1"/>
  <c r="A1771" i="1"/>
  <c r="C1771" i="1"/>
  <c r="D1771" i="1"/>
  <c r="F1771" i="1"/>
  <c r="G1771" i="1"/>
  <c r="J1771" i="1"/>
  <c r="A1770" i="1"/>
  <c r="C1770" i="1"/>
  <c r="D1770" i="1"/>
  <c r="F1770" i="1"/>
  <c r="G1770" i="1"/>
  <c r="H1770" i="1"/>
  <c r="I1770" i="1"/>
  <c r="J1770" i="1"/>
  <c r="L1770" i="1"/>
  <c r="A1769" i="1"/>
  <c r="C1769" i="1"/>
  <c r="D1769" i="1"/>
  <c r="F1769" i="1"/>
  <c r="G1769" i="1"/>
  <c r="J1769" i="1"/>
  <c r="L1769" i="1"/>
  <c r="A1768" i="1"/>
  <c r="C1768" i="1"/>
  <c r="D1768" i="1"/>
  <c r="F1768" i="1"/>
  <c r="G1768" i="1"/>
  <c r="J1768" i="1"/>
  <c r="A1767" i="1"/>
  <c r="C1767" i="1"/>
  <c r="D1767" i="1"/>
  <c r="F1767" i="1"/>
  <c r="G1767" i="1"/>
  <c r="H1767" i="1"/>
  <c r="I1767" i="1"/>
  <c r="J1767" i="1"/>
  <c r="L1767" i="1"/>
  <c r="A1766" i="1"/>
  <c r="C1766" i="1"/>
  <c r="D1766" i="1"/>
  <c r="F1766" i="1"/>
  <c r="G1766" i="1"/>
  <c r="J1766" i="1"/>
  <c r="L1766" i="1"/>
  <c r="A1765" i="1"/>
  <c r="C1765" i="1"/>
  <c r="D1765" i="1"/>
  <c r="E1765" i="1"/>
  <c r="F1765" i="1"/>
  <c r="G1765" i="1"/>
  <c r="J1765" i="1"/>
  <c r="A1764" i="1"/>
  <c r="C1764" i="1"/>
  <c r="D1764" i="1"/>
  <c r="F1764" i="1"/>
  <c r="G1764" i="1"/>
  <c r="H1764" i="1"/>
  <c r="J1764" i="1"/>
  <c r="L1764" i="1"/>
  <c r="A1763" i="1"/>
  <c r="C1763" i="1"/>
  <c r="D1763" i="1"/>
  <c r="F1763" i="1"/>
  <c r="G1763" i="1"/>
  <c r="J1763" i="1"/>
  <c r="A1762" i="1"/>
  <c r="C1762" i="1"/>
  <c r="D1762" i="1"/>
  <c r="F1762" i="1"/>
  <c r="G1762" i="1"/>
  <c r="H1762" i="1"/>
  <c r="J1762" i="1"/>
  <c r="L1762" i="1"/>
  <c r="A1761" i="1"/>
  <c r="C1761" i="1"/>
  <c r="D1761" i="1"/>
  <c r="F1761" i="1"/>
  <c r="G1761" i="1"/>
  <c r="J1761" i="1"/>
  <c r="L1761" i="1"/>
  <c r="A1760" i="1"/>
  <c r="C1760" i="1"/>
  <c r="D1760" i="1"/>
  <c r="F1760" i="1"/>
  <c r="G1760" i="1"/>
  <c r="J1760" i="1"/>
  <c r="L1760" i="1"/>
  <c r="A1759" i="1"/>
  <c r="C1759" i="1"/>
  <c r="D1759" i="1"/>
  <c r="F1759" i="1"/>
  <c r="G1759" i="1"/>
  <c r="J1759" i="1"/>
  <c r="A1758" i="1"/>
  <c r="C1758" i="1"/>
  <c r="D1758" i="1"/>
  <c r="F1758" i="1"/>
  <c r="G1758" i="1"/>
  <c r="H1758" i="1"/>
  <c r="J1758" i="1"/>
  <c r="L1758" i="1"/>
  <c r="A1756" i="1"/>
  <c r="C1756" i="1"/>
  <c r="D1756" i="1"/>
  <c r="F1756" i="1"/>
  <c r="G1756" i="1"/>
  <c r="J1756" i="1"/>
  <c r="A1757" i="1"/>
  <c r="C1757" i="1"/>
  <c r="D1757" i="1"/>
  <c r="F1757" i="1"/>
  <c r="G1757" i="1"/>
  <c r="H1757" i="1"/>
  <c r="J1757" i="1"/>
  <c r="L1757" i="1"/>
  <c r="A1755" i="1"/>
  <c r="C1755" i="1"/>
  <c r="D1755" i="1"/>
  <c r="F1755" i="1"/>
  <c r="G1755" i="1"/>
  <c r="H1755" i="1"/>
  <c r="J1755" i="1"/>
  <c r="L1755" i="1"/>
  <c r="A1754" i="1"/>
  <c r="D1754" i="1"/>
  <c r="E1754" i="1"/>
  <c r="F1754" i="1"/>
  <c r="G1754" i="1"/>
  <c r="J1754" i="1"/>
  <c r="A1753" i="1"/>
  <c r="C1753" i="1"/>
  <c r="D1753" i="1"/>
  <c r="F1753" i="1"/>
  <c r="G1753" i="1"/>
  <c r="H1753" i="1"/>
  <c r="J1753" i="1"/>
  <c r="L1753" i="1"/>
  <c r="A1752" i="1"/>
  <c r="C1752" i="1"/>
  <c r="D1752" i="1"/>
  <c r="F1752" i="1"/>
  <c r="G1752" i="1"/>
  <c r="H1752" i="1"/>
  <c r="J1752" i="1"/>
  <c r="L1752" i="1"/>
  <c r="A1751" i="1"/>
  <c r="C1751" i="1"/>
  <c r="D1751" i="1"/>
  <c r="F1751" i="1"/>
  <c r="G1751" i="1"/>
  <c r="H1751" i="1"/>
  <c r="J1751" i="1"/>
  <c r="A1750" i="1"/>
  <c r="C1750" i="1"/>
  <c r="D1750" i="1"/>
  <c r="E1750" i="1"/>
  <c r="F1750" i="1"/>
  <c r="G1750" i="1"/>
  <c r="J1750" i="1"/>
  <c r="A1749" i="1"/>
  <c r="C1749" i="1"/>
  <c r="D1749" i="1"/>
  <c r="F1749" i="1"/>
  <c r="G1749" i="1"/>
  <c r="J1749" i="1"/>
  <c r="L1749" i="1"/>
  <c r="A1748" i="1"/>
  <c r="C1748" i="1"/>
  <c r="D1748" i="1"/>
  <c r="F1748" i="1"/>
  <c r="G1748" i="1"/>
  <c r="H1748" i="1"/>
  <c r="J1748" i="1"/>
  <c r="L1748" i="1"/>
  <c r="A1747" i="1"/>
  <c r="C1747" i="1"/>
  <c r="D1747" i="1"/>
  <c r="F1747" i="1"/>
  <c r="G1747" i="1"/>
  <c r="J1747" i="1"/>
  <c r="A1746" i="1"/>
  <c r="C1746" i="1"/>
  <c r="D1746" i="1"/>
  <c r="F1746" i="1"/>
  <c r="G1746" i="1"/>
  <c r="J1746" i="1"/>
  <c r="A1745" i="1"/>
  <c r="D1745" i="1"/>
  <c r="F1745" i="1"/>
  <c r="G1745" i="1"/>
  <c r="J1745" i="1"/>
  <c r="A1744" i="1"/>
  <c r="C1744" i="1"/>
  <c r="D1744" i="1"/>
  <c r="F1744" i="1"/>
  <c r="G1744" i="1"/>
  <c r="H1744" i="1"/>
  <c r="J1744" i="1"/>
  <c r="A1743" i="1"/>
  <c r="C1743" i="1"/>
  <c r="D1743" i="1"/>
  <c r="F1743" i="1"/>
  <c r="G1743" i="1"/>
  <c r="J1743" i="1"/>
  <c r="L1743" i="1"/>
  <c r="A1742" i="1"/>
  <c r="C1742" i="1"/>
  <c r="D1742" i="1"/>
  <c r="F1742" i="1"/>
  <c r="G1742" i="1"/>
  <c r="J1742" i="1"/>
  <c r="A1740" i="1"/>
  <c r="C1740" i="1"/>
  <c r="D1740" i="1"/>
  <c r="F1740" i="1"/>
  <c r="G1740" i="1"/>
  <c r="H1740" i="1"/>
  <c r="J1740" i="1"/>
  <c r="L1740" i="1"/>
  <c r="A1741" i="1"/>
  <c r="C1741" i="1"/>
  <c r="D1741" i="1"/>
  <c r="F1741" i="1"/>
  <c r="G1741" i="1"/>
  <c r="J1741" i="1"/>
  <c r="L1741" i="1"/>
  <c r="A1739" i="1"/>
  <c r="C1739" i="1"/>
  <c r="D1739" i="1"/>
  <c r="F1739" i="1"/>
  <c r="G1739" i="1"/>
  <c r="J1739" i="1"/>
  <c r="L1739" i="1"/>
  <c r="A1737" i="1"/>
  <c r="C1737" i="1"/>
  <c r="D1737" i="1"/>
  <c r="F1737" i="1"/>
  <c r="G1737" i="1"/>
  <c r="J1737" i="1"/>
  <c r="L1737" i="1"/>
  <c r="A1738" i="1"/>
  <c r="C1738" i="1"/>
  <c r="D1738" i="1"/>
  <c r="F1738" i="1"/>
  <c r="G1738" i="1"/>
  <c r="J1738" i="1"/>
  <c r="L1738" i="1"/>
  <c r="A1735" i="1"/>
  <c r="C1735" i="1"/>
  <c r="D1735" i="1"/>
  <c r="F1735" i="1"/>
  <c r="G1735" i="1"/>
  <c r="J1735" i="1"/>
  <c r="L1735" i="1"/>
  <c r="A1736" i="1"/>
  <c r="C1736" i="1"/>
  <c r="D1736" i="1"/>
  <c r="F1736" i="1"/>
  <c r="G1736" i="1"/>
  <c r="J1736" i="1"/>
  <c r="L1736" i="1"/>
  <c r="A1734" i="1"/>
  <c r="C1734" i="1"/>
  <c r="D1734" i="1"/>
  <c r="F1734" i="1"/>
  <c r="G1734" i="1"/>
  <c r="H1734" i="1"/>
  <c r="I1734" i="1"/>
  <c r="J1734" i="1"/>
  <c r="L1734" i="1"/>
  <c r="A1733" i="1"/>
  <c r="C1733" i="1"/>
  <c r="D1733" i="1"/>
  <c r="F1733" i="1"/>
  <c r="G1733" i="1"/>
  <c r="J1733" i="1"/>
  <c r="L1733" i="1"/>
  <c r="A1732" i="1"/>
  <c r="C1732" i="1"/>
  <c r="D1732" i="1"/>
  <c r="F1732" i="1"/>
  <c r="G1732" i="1"/>
  <c r="J1732" i="1"/>
  <c r="L1732" i="1"/>
  <c r="A1731" i="1"/>
  <c r="C1731" i="1"/>
  <c r="D1731" i="1"/>
  <c r="F1731" i="1"/>
  <c r="G1731" i="1"/>
  <c r="J1731" i="1"/>
  <c r="L1731" i="1"/>
  <c r="A1730" i="1"/>
  <c r="C1730" i="1"/>
  <c r="D1730" i="1"/>
  <c r="F1730" i="1"/>
  <c r="G1730" i="1"/>
  <c r="J1730" i="1"/>
  <c r="L1730" i="1"/>
  <c r="A1729" i="1"/>
  <c r="C1729" i="1"/>
  <c r="D1729" i="1"/>
  <c r="F1729" i="1"/>
  <c r="G1729" i="1"/>
  <c r="J1729" i="1"/>
  <c r="A1728" i="1"/>
  <c r="C1728" i="1"/>
  <c r="D1728" i="1"/>
  <c r="F1728" i="1"/>
  <c r="G1728" i="1"/>
  <c r="J1728" i="1"/>
  <c r="A1727" i="1"/>
  <c r="C1727" i="1"/>
  <c r="D1727" i="1"/>
  <c r="F1727" i="1"/>
  <c r="G1727" i="1"/>
  <c r="J1727" i="1"/>
  <c r="A1726" i="1"/>
  <c r="C1726" i="1"/>
  <c r="D1726" i="1"/>
  <c r="F1726" i="1"/>
  <c r="G1726" i="1"/>
  <c r="J1726" i="1"/>
  <c r="A1725" i="1"/>
  <c r="C1725" i="1"/>
  <c r="D1725" i="1"/>
  <c r="F1725" i="1"/>
  <c r="G1725" i="1"/>
  <c r="J1725" i="1"/>
  <c r="L1725" i="1"/>
  <c r="A1724" i="1"/>
  <c r="C1724" i="1"/>
  <c r="D1724" i="1"/>
  <c r="F1724" i="1"/>
  <c r="G1724" i="1"/>
  <c r="J1724" i="1"/>
  <c r="A1723" i="1"/>
  <c r="C1723" i="1"/>
  <c r="D1723" i="1"/>
  <c r="F1723" i="1"/>
  <c r="G1723" i="1"/>
  <c r="J1723" i="1"/>
  <c r="A1722" i="1"/>
  <c r="C1722" i="1"/>
  <c r="D1722" i="1"/>
  <c r="F1722" i="1"/>
  <c r="G1722" i="1"/>
  <c r="J1722" i="1"/>
  <c r="A1721" i="1"/>
  <c r="C1721" i="1"/>
  <c r="D1721" i="1"/>
  <c r="F1721" i="1"/>
  <c r="G1721" i="1"/>
  <c r="J1721" i="1"/>
  <c r="A1720" i="1"/>
  <c r="C1720" i="1"/>
  <c r="D1720" i="1"/>
  <c r="F1720" i="1"/>
  <c r="G1720" i="1"/>
  <c r="J1720" i="1"/>
  <c r="A1719" i="1"/>
  <c r="C1719" i="1"/>
  <c r="D1719" i="1"/>
  <c r="F1719" i="1"/>
  <c r="G1719" i="1"/>
  <c r="J1719" i="1"/>
  <c r="A1718" i="1"/>
  <c r="C1718" i="1"/>
  <c r="D1718" i="1"/>
  <c r="E1718" i="1"/>
  <c r="F1718" i="1"/>
  <c r="G1718" i="1"/>
  <c r="J1718" i="1"/>
  <c r="A1717" i="1"/>
  <c r="C1717" i="1"/>
  <c r="D1717" i="1"/>
  <c r="F1717" i="1"/>
  <c r="G1717" i="1"/>
  <c r="J1717" i="1"/>
  <c r="A1716" i="1"/>
  <c r="D1716" i="1"/>
  <c r="F1716" i="1"/>
  <c r="G1716" i="1"/>
  <c r="J1716" i="1"/>
  <c r="A1715" i="1"/>
  <c r="C1715" i="1"/>
  <c r="D1715" i="1"/>
  <c r="F1715" i="1"/>
  <c r="G1715" i="1"/>
  <c r="J1715" i="1"/>
  <c r="A1714" i="1"/>
  <c r="D1714" i="1"/>
  <c r="F1714" i="1"/>
  <c r="G1714" i="1"/>
  <c r="J1714" i="1"/>
  <c r="A1713" i="1"/>
  <c r="C1713" i="1"/>
  <c r="D1713" i="1"/>
  <c r="F1713" i="1"/>
  <c r="G1713" i="1"/>
  <c r="J1713" i="1"/>
  <c r="A1711" i="1"/>
  <c r="C1711" i="1"/>
  <c r="D1711" i="1"/>
  <c r="F1711" i="1"/>
  <c r="G1711" i="1"/>
  <c r="J1711" i="1"/>
  <c r="A1712" i="1"/>
  <c r="C1712" i="1"/>
  <c r="D1712" i="1"/>
  <c r="F1712" i="1"/>
  <c r="G1712" i="1"/>
  <c r="J1712" i="1"/>
  <c r="A1710" i="1"/>
  <c r="C1710" i="1"/>
  <c r="D1710" i="1"/>
  <c r="F1710" i="1"/>
  <c r="G1710" i="1"/>
  <c r="J1710" i="1"/>
  <c r="A1709" i="1"/>
  <c r="C1709" i="1"/>
  <c r="D1709" i="1"/>
  <c r="F1709" i="1"/>
  <c r="G1709" i="1"/>
  <c r="H1709" i="1"/>
  <c r="J1709" i="1"/>
  <c r="A1708" i="1"/>
  <c r="C1708" i="1"/>
  <c r="E1708" i="1"/>
  <c r="F1708" i="1"/>
  <c r="G1708" i="1"/>
  <c r="J1708" i="1"/>
  <c r="A1707" i="1"/>
  <c r="C1707" i="1"/>
  <c r="D1707" i="1"/>
  <c r="F1707" i="1"/>
  <c r="G1707" i="1"/>
  <c r="J1707" i="1"/>
  <c r="A1706" i="1"/>
  <c r="C1706" i="1"/>
  <c r="D1706" i="1"/>
  <c r="F1706" i="1"/>
  <c r="G1706" i="1"/>
  <c r="J1706" i="1"/>
  <c r="L1706" i="1"/>
  <c r="A1704" i="1"/>
  <c r="C1704" i="1"/>
  <c r="D1704" i="1"/>
  <c r="E1704" i="1"/>
  <c r="F1704" i="1"/>
  <c r="G1704" i="1"/>
  <c r="J1704" i="1"/>
  <c r="A1705" i="1"/>
  <c r="C1705" i="1"/>
  <c r="D1705" i="1"/>
  <c r="F1705" i="1"/>
  <c r="G1705" i="1"/>
  <c r="J1705" i="1"/>
  <c r="A1703" i="1"/>
  <c r="C1703" i="1"/>
  <c r="D1703" i="1"/>
  <c r="F1703" i="1"/>
  <c r="G1703" i="1"/>
  <c r="J1703" i="1"/>
  <c r="A1702" i="1"/>
  <c r="C1702" i="1"/>
  <c r="D1702" i="1"/>
  <c r="F1702" i="1"/>
  <c r="G1702" i="1"/>
  <c r="J1702" i="1"/>
  <c r="A1701" i="1"/>
  <c r="C1701" i="1"/>
  <c r="D1701" i="1"/>
  <c r="F1701" i="1"/>
  <c r="G1701" i="1"/>
  <c r="J1701" i="1"/>
  <c r="L1701" i="1"/>
  <c r="A1700" i="1"/>
  <c r="C1700" i="1"/>
  <c r="D1700" i="1"/>
  <c r="F1700" i="1"/>
  <c r="G1700" i="1"/>
  <c r="J1700" i="1"/>
  <c r="A1699" i="1"/>
  <c r="C1699" i="1"/>
  <c r="D1699" i="1"/>
  <c r="F1699" i="1"/>
  <c r="G1699" i="1"/>
  <c r="J1699" i="1"/>
  <c r="A1698" i="1"/>
  <c r="C1698" i="1"/>
  <c r="D1698" i="1"/>
  <c r="F1698" i="1"/>
  <c r="G1698" i="1"/>
  <c r="J1698" i="1"/>
  <c r="L1698" i="1"/>
  <c r="A1696" i="1"/>
  <c r="C1696" i="1"/>
  <c r="D1696" i="1"/>
  <c r="F1696" i="1"/>
  <c r="G1696" i="1"/>
  <c r="J1696" i="1"/>
  <c r="A1697" i="1"/>
  <c r="C1697" i="1"/>
  <c r="D1697" i="1"/>
  <c r="E1697" i="1"/>
  <c r="F1697" i="1"/>
  <c r="G1697" i="1"/>
  <c r="J1697" i="1"/>
  <c r="A1695" i="1"/>
  <c r="C1695" i="1"/>
  <c r="D1695" i="1"/>
  <c r="F1695" i="1"/>
  <c r="G1695" i="1"/>
  <c r="J1695" i="1"/>
  <c r="A1694" i="1"/>
  <c r="D1694" i="1"/>
  <c r="F1694" i="1"/>
  <c r="G1694" i="1"/>
  <c r="H1694" i="1"/>
  <c r="J1694" i="1"/>
  <c r="A1693" i="1"/>
  <c r="C1693" i="1"/>
  <c r="D1693" i="1"/>
  <c r="E1693" i="1"/>
  <c r="F1693" i="1"/>
  <c r="G1693" i="1"/>
  <c r="J1693" i="1"/>
  <c r="A1692" i="1"/>
  <c r="C1692" i="1"/>
  <c r="D1692" i="1"/>
  <c r="F1692" i="1"/>
  <c r="G1692" i="1"/>
  <c r="J1692" i="1"/>
  <c r="A1691" i="1"/>
  <c r="C1691" i="1"/>
  <c r="D1691" i="1"/>
  <c r="F1691" i="1"/>
  <c r="G1691" i="1"/>
  <c r="J1691" i="1"/>
  <c r="A1690" i="1"/>
  <c r="C1690" i="1"/>
  <c r="D1690" i="1"/>
  <c r="F1690" i="1"/>
  <c r="G1690" i="1"/>
  <c r="J1690" i="1"/>
  <c r="A1689" i="1"/>
  <c r="C1689" i="1"/>
  <c r="D1689" i="1"/>
  <c r="F1689" i="1"/>
  <c r="G1689" i="1"/>
  <c r="J1689" i="1"/>
  <c r="L1689" i="1"/>
  <c r="A1688" i="1"/>
  <c r="C1688" i="1"/>
  <c r="D1688" i="1"/>
  <c r="F1688" i="1"/>
  <c r="G1688" i="1"/>
  <c r="J1688" i="1"/>
  <c r="A1687" i="1"/>
  <c r="C1687" i="1"/>
  <c r="D1687" i="1"/>
  <c r="F1687" i="1"/>
  <c r="G1687" i="1"/>
  <c r="J1687" i="1"/>
  <c r="A1686" i="1"/>
  <c r="D1686" i="1"/>
  <c r="E1686" i="1"/>
  <c r="F1686" i="1"/>
  <c r="G1686" i="1"/>
  <c r="J1686" i="1"/>
  <c r="A1685" i="1"/>
  <c r="D1685" i="1"/>
  <c r="F1685" i="1"/>
  <c r="G1685" i="1"/>
  <c r="J1685" i="1"/>
  <c r="A1684" i="1"/>
  <c r="C1684" i="1"/>
  <c r="D1684" i="1"/>
  <c r="F1684" i="1"/>
  <c r="G1684" i="1"/>
  <c r="J1684" i="1"/>
  <c r="A1683" i="1"/>
  <c r="C1683" i="1"/>
  <c r="D1683" i="1"/>
  <c r="E1683" i="1"/>
  <c r="F1683" i="1"/>
  <c r="G1683" i="1"/>
  <c r="J1683" i="1"/>
  <c r="A1682" i="1"/>
  <c r="C1682" i="1"/>
  <c r="D1682" i="1"/>
  <c r="F1682" i="1"/>
  <c r="G1682" i="1"/>
  <c r="J1682" i="1"/>
  <c r="A1680" i="1"/>
  <c r="C1680" i="1"/>
  <c r="D1680" i="1"/>
  <c r="E1680" i="1"/>
  <c r="F1680" i="1"/>
  <c r="G1680" i="1"/>
  <c r="J1680" i="1"/>
  <c r="A1681" i="1"/>
  <c r="D1681" i="1"/>
  <c r="E1681" i="1"/>
  <c r="F1681" i="1"/>
  <c r="G1681" i="1"/>
  <c r="J1681" i="1"/>
  <c r="A1679" i="1"/>
  <c r="D1679" i="1"/>
  <c r="F1679" i="1"/>
  <c r="G1679" i="1"/>
  <c r="J1679" i="1"/>
  <c r="A1678" i="1"/>
  <c r="E1678" i="1"/>
  <c r="F1678" i="1"/>
  <c r="G1678" i="1"/>
  <c r="J1678" i="1"/>
  <c r="A1677" i="1"/>
  <c r="C1677" i="1"/>
  <c r="D1677" i="1"/>
  <c r="F1677" i="1"/>
  <c r="G1677" i="1"/>
  <c r="J1677" i="1"/>
  <c r="A1676" i="1"/>
  <c r="D1676" i="1"/>
  <c r="E1676" i="1"/>
  <c r="F1676" i="1"/>
  <c r="G1676" i="1"/>
  <c r="J1676" i="1"/>
  <c r="A1675" i="1"/>
  <c r="C1675" i="1"/>
  <c r="D1675" i="1"/>
  <c r="F1675" i="1"/>
  <c r="G1675" i="1"/>
  <c r="J1675" i="1"/>
  <c r="A1674" i="1"/>
  <c r="D1674" i="1"/>
  <c r="E1674" i="1"/>
  <c r="F1674" i="1"/>
  <c r="G1674" i="1"/>
  <c r="J1674" i="1"/>
  <c r="A1673" i="1"/>
  <c r="C1673" i="1"/>
  <c r="D1673" i="1"/>
  <c r="F1673" i="1"/>
  <c r="G1673" i="1"/>
  <c r="J1673" i="1"/>
  <c r="A1672" i="1"/>
  <c r="C1672" i="1"/>
  <c r="D1672" i="1"/>
  <c r="F1672" i="1"/>
  <c r="G1672" i="1"/>
  <c r="J1672" i="1"/>
  <c r="A1671" i="1"/>
  <c r="C1671" i="1"/>
  <c r="D1671" i="1"/>
  <c r="F1671" i="1"/>
  <c r="G1671" i="1"/>
  <c r="J1671" i="1"/>
  <c r="A1670" i="1"/>
  <c r="C1670" i="1"/>
  <c r="D1670" i="1"/>
  <c r="F1670" i="1"/>
  <c r="G1670" i="1"/>
  <c r="J1670" i="1"/>
  <c r="A1668" i="1"/>
  <c r="C1668" i="1"/>
  <c r="D1668" i="1"/>
  <c r="F1668" i="1"/>
  <c r="G1668" i="1"/>
  <c r="J1668" i="1"/>
  <c r="A1669" i="1"/>
  <c r="E1669" i="1"/>
  <c r="F1669" i="1"/>
  <c r="G1669" i="1"/>
  <c r="J1669" i="1"/>
  <c r="A1667" i="1"/>
  <c r="C1667" i="1"/>
  <c r="D1667" i="1"/>
  <c r="F1667" i="1"/>
  <c r="G1667" i="1"/>
  <c r="J1667" i="1"/>
  <c r="A1666" i="1"/>
  <c r="C1666" i="1"/>
  <c r="D1666" i="1"/>
  <c r="F1666" i="1"/>
  <c r="G1666" i="1"/>
  <c r="J1666" i="1"/>
  <c r="A1665" i="1"/>
  <c r="C1665" i="1"/>
  <c r="D1665" i="1"/>
  <c r="F1665" i="1"/>
  <c r="G1665" i="1"/>
  <c r="J1665" i="1"/>
  <c r="A1664" i="1"/>
  <c r="C1664" i="1"/>
  <c r="D1664" i="1"/>
  <c r="F1664" i="1"/>
  <c r="G1664" i="1"/>
  <c r="J1664" i="1"/>
  <c r="A1663" i="1"/>
  <c r="C1663" i="1"/>
  <c r="D1663" i="1"/>
  <c r="F1663" i="1"/>
  <c r="G1663" i="1"/>
  <c r="J1663" i="1"/>
  <c r="A1662" i="1"/>
  <c r="C1662" i="1"/>
  <c r="D1662" i="1"/>
  <c r="F1662" i="1"/>
  <c r="G1662" i="1"/>
  <c r="J1662" i="1"/>
  <c r="A1661" i="1"/>
  <c r="C1661" i="1"/>
  <c r="D1661" i="1"/>
  <c r="E1661" i="1"/>
  <c r="F1661" i="1"/>
  <c r="G1661" i="1"/>
  <c r="J1661" i="1"/>
  <c r="A1660" i="1"/>
  <c r="C1660" i="1"/>
  <c r="D1660" i="1"/>
  <c r="E1660" i="1"/>
  <c r="F1660" i="1"/>
  <c r="G1660" i="1"/>
  <c r="J1660" i="1"/>
  <c r="A1659" i="1"/>
  <c r="C1659" i="1"/>
  <c r="D1659" i="1"/>
  <c r="E1659" i="1"/>
  <c r="F1659" i="1"/>
  <c r="G1659" i="1"/>
  <c r="J1659" i="1"/>
  <c r="A1658" i="1"/>
  <c r="C1658" i="1"/>
  <c r="D1658" i="1"/>
  <c r="F1658" i="1"/>
  <c r="G1658" i="1"/>
  <c r="J1658" i="1"/>
  <c r="A1657" i="1"/>
  <c r="C1657" i="1"/>
  <c r="D1657" i="1"/>
  <c r="F1657" i="1"/>
  <c r="G1657" i="1"/>
  <c r="J1657" i="1"/>
  <c r="A1656" i="1"/>
  <c r="C1656" i="1"/>
  <c r="D1656" i="1"/>
  <c r="F1656" i="1"/>
  <c r="G1656" i="1"/>
  <c r="J1656" i="1"/>
  <c r="A1655" i="1"/>
  <c r="C1655" i="1"/>
  <c r="D1655" i="1"/>
  <c r="F1655" i="1"/>
  <c r="G1655" i="1"/>
  <c r="J1655" i="1"/>
  <c r="A1654" i="1"/>
  <c r="C1654" i="1"/>
  <c r="D1654" i="1"/>
  <c r="F1654" i="1"/>
  <c r="G1654" i="1"/>
  <c r="J1654" i="1"/>
  <c r="A1653" i="1"/>
  <c r="C1653" i="1"/>
  <c r="D1653" i="1"/>
  <c r="F1653" i="1"/>
  <c r="G1653" i="1"/>
  <c r="J1653" i="1"/>
  <c r="A1652" i="1"/>
  <c r="C1652" i="1"/>
  <c r="D1652" i="1"/>
  <c r="F1652" i="1"/>
  <c r="G1652" i="1"/>
  <c r="J1652" i="1"/>
  <c r="A1651" i="1"/>
  <c r="D1651" i="1"/>
  <c r="F1651" i="1"/>
  <c r="G1651" i="1"/>
  <c r="J1651" i="1"/>
  <c r="A1650" i="1"/>
  <c r="C1650" i="1"/>
  <c r="E1650" i="1"/>
  <c r="F1650" i="1"/>
  <c r="G1650" i="1"/>
  <c r="J1650" i="1"/>
  <c r="A1649" i="1"/>
  <c r="C1649" i="1"/>
  <c r="D1649" i="1"/>
  <c r="F1649" i="1"/>
  <c r="G1649" i="1"/>
  <c r="H1649" i="1"/>
  <c r="J1649" i="1"/>
  <c r="A1648" i="1"/>
  <c r="C1648" i="1"/>
  <c r="D1648" i="1"/>
  <c r="F1648" i="1"/>
  <c r="G1648" i="1"/>
  <c r="H1648" i="1"/>
  <c r="J1648" i="1"/>
  <c r="A1647" i="1"/>
  <c r="D1647" i="1"/>
  <c r="F1647" i="1"/>
  <c r="G1647" i="1"/>
  <c r="J1647" i="1"/>
  <c r="A1646" i="1"/>
  <c r="D1646" i="1"/>
  <c r="F1646" i="1"/>
  <c r="G1646" i="1"/>
  <c r="J1646" i="1"/>
  <c r="A1645" i="1"/>
  <c r="C1645" i="1"/>
  <c r="D1645" i="1"/>
  <c r="E1645" i="1"/>
  <c r="F1645" i="1"/>
  <c r="G1645" i="1"/>
  <c r="J1645" i="1"/>
  <c r="A1644" i="1"/>
  <c r="C1644" i="1"/>
  <c r="E1644" i="1"/>
  <c r="F1644" i="1"/>
  <c r="G1644" i="1"/>
  <c r="J1644" i="1"/>
  <c r="A1643" i="1"/>
  <c r="D1643" i="1"/>
  <c r="F1643" i="1"/>
  <c r="G1643" i="1"/>
  <c r="J1643" i="1"/>
  <c r="A1642" i="1"/>
  <c r="C1642" i="1"/>
  <c r="D1642" i="1"/>
  <c r="F1642" i="1"/>
  <c r="G1642" i="1"/>
  <c r="J1642" i="1"/>
  <c r="A1641" i="1"/>
  <c r="D1641" i="1"/>
  <c r="F1641" i="1"/>
  <c r="G1641" i="1"/>
  <c r="J1641" i="1"/>
  <c r="A1640" i="1"/>
  <c r="D1640" i="1"/>
  <c r="F1640" i="1"/>
  <c r="G1640" i="1"/>
  <c r="J1640" i="1"/>
  <c r="A1639" i="1"/>
  <c r="D1639" i="1"/>
  <c r="F1639" i="1"/>
  <c r="G1639" i="1"/>
  <c r="J1639" i="1"/>
  <c r="A1638" i="1"/>
  <c r="C1638" i="1"/>
  <c r="D1638" i="1"/>
  <c r="F1638" i="1"/>
  <c r="G1638" i="1"/>
  <c r="J1638" i="1"/>
  <c r="A1637" i="1"/>
  <c r="C1637" i="1"/>
  <c r="D1637" i="1"/>
  <c r="F1637" i="1"/>
  <c r="G1637" i="1"/>
  <c r="J1637" i="1"/>
  <c r="A1636" i="1"/>
  <c r="C1636" i="1"/>
  <c r="D1636" i="1"/>
  <c r="E1636" i="1"/>
  <c r="F1636" i="1"/>
  <c r="G1636" i="1"/>
  <c r="J1636" i="1"/>
  <c r="A1635" i="1"/>
  <c r="C1635" i="1"/>
  <c r="D1635" i="1"/>
  <c r="E1635" i="1"/>
  <c r="F1635" i="1"/>
  <c r="G1635" i="1"/>
  <c r="J1635" i="1"/>
  <c r="A1634" i="1"/>
  <c r="C1634" i="1"/>
  <c r="D1634" i="1"/>
  <c r="F1634" i="1"/>
  <c r="G1634" i="1"/>
  <c r="J1634" i="1"/>
  <c r="A1633" i="1"/>
  <c r="C1633" i="1"/>
  <c r="D1633" i="1"/>
  <c r="F1633" i="1"/>
  <c r="G1633" i="1"/>
  <c r="J1633" i="1"/>
  <c r="A1632" i="1"/>
  <c r="C1632" i="1"/>
  <c r="D1632" i="1"/>
  <c r="F1632" i="1"/>
  <c r="G1632" i="1"/>
  <c r="J1632" i="1"/>
  <c r="A1631" i="1"/>
  <c r="C1631" i="1"/>
  <c r="D1631" i="1"/>
  <c r="F1631" i="1"/>
  <c r="G1631" i="1"/>
  <c r="J1631" i="1"/>
  <c r="A1630" i="1"/>
  <c r="D1630" i="1"/>
  <c r="F1630" i="1"/>
  <c r="G1630" i="1"/>
  <c r="J1630" i="1"/>
  <c r="A1629" i="1"/>
  <c r="C1629" i="1"/>
  <c r="D1629" i="1"/>
  <c r="E1629" i="1"/>
  <c r="F1629" i="1"/>
  <c r="G1629" i="1"/>
  <c r="J1629" i="1"/>
  <c r="A1628" i="1"/>
  <c r="C1628" i="1"/>
  <c r="D1628" i="1"/>
  <c r="F1628" i="1"/>
  <c r="G1628" i="1"/>
  <c r="J1628" i="1"/>
  <c r="A1627" i="1"/>
  <c r="C1627" i="1"/>
  <c r="D1627" i="1"/>
  <c r="F1627" i="1"/>
  <c r="G1627" i="1"/>
  <c r="J1627" i="1"/>
  <c r="A1626" i="1"/>
  <c r="C1626" i="1"/>
  <c r="D1626" i="1"/>
  <c r="F1626" i="1"/>
  <c r="G1626" i="1"/>
  <c r="J1626" i="1"/>
  <c r="A1625" i="1"/>
  <c r="C1625" i="1"/>
  <c r="D1625" i="1"/>
  <c r="F1625" i="1"/>
  <c r="G1625" i="1"/>
  <c r="J1625" i="1"/>
  <c r="A1623" i="1"/>
  <c r="C1623" i="1"/>
  <c r="D1623" i="1"/>
  <c r="F1623" i="1"/>
  <c r="G1623" i="1"/>
  <c r="J1623" i="1"/>
  <c r="A1624" i="1"/>
  <c r="C1624" i="1"/>
  <c r="D1624" i="1"/>
  <c r="F1624" i="1"/>
  <c r="G1624" i="1"/>
  <c r="J1624" i="1"/>
  <c r="A1622" i="1"/>
  <c r="C1622" i="1"/>
  <c r="D1622" i="1"/>
  <c r="F1622" i="1"/>
  <c r="G1622" i="1"/>
  <c r="J1622" i="1"/>
  <c r="A1621" i="1"/>
  <c r="C1621" i="1"/>
  <c r="D1621" i="1"/>
  <c r="F1621" i="1"/>
  <c r="G1621" i="1"/>
  <c r="J1621" i="1"/>
  <c r="A1620" i="1"/>
  <c r="C1620" i="1"/>
  <c r="D1620" i="1"/>
  <c r="F1620" i="1"/>
  <c r="G1620" i="1"/>
  <c r="J1620" i="1"/>
  <c r="A1619" i="1"/>
  <c r="C1619" i="1"/>
  <c r="D1619" i="1"/>
  <c r="F1619" i="1"/>
  <c r="G1619" i="1"/>
  <c r="J1619" i="1"/>
  <c r="A1618" i="1"/>
  <c r="D1618" i="1"/>
  <c r="E1618" i="1"/>
  <c r="F1618" i="1"/>
  <c r="G1618" i="1"/>
  <c r="J1618" i="1"/>
  <c r="A1617" i="1"/>
  <c r="E1617" i="1"/>
  <c r="F1617" i="1"/>
  <c r="G1617" i="1"/>
  <c r="J1617" i="1"/>
  <c r="A1616" i="1"/>
  <c r="D1616" i="1"/>
  <c r="F1616" i="1"/>
  <c r="G1616" i="1"/>
  <c r="J1616" i="1"/>
  <c r="A1615" i="1"/>
  <c r="D1615" i="1"/>
  <c r="E1615" i="1"/>
  <c r="F1615" i="1"/>
  <c r="G1615" i="1"/>
  <c r="J1615" i="1"/>
  <c r="A1614" i="1"/>
  <c r="C1614" i="1"/>
  <c r="D1614" i="1"/>
  <c r="F1614" i="1"/>
  <c r="G1614" i="1"/>
  <c r="J1614" i="1"/>
  <c r="A1613" i="1"/>
  <c r="E1613" i="1"/>
  <c r="F1613" i="1"/>
  <c r="G1613" i="1"/>
  <c r="J1613" i="1"/>
  <c r="A1612" i="1"/>
  <c r="C1612" i="1"/>
  <c r="D1612" i="1"/>
  <c r="F1612" i="1"/>
  <c r="G1612" i="1"/>
  <c r="J1612" i="1"/>
  <c r="A1610" i="1"/>
  <c r="C1610" i="1"/>
  <c r="D1610" i="1"/>
  <c r="F1610" i="1"/>
  <c r="G1610" i="1"/>
  <c r="J1610" i="1"/>
  <c r="A1611" i="1"/>
  <c r="E1611" i="1"/>
  <c r="F1611" i="1"/>
  <c r="G1611" i="1"/>
  <c r="J1611" i="1"/>
  <c r="A1608" i="1"/>
  <c r="C1608" i="1"/>
  <c r="D1608" i="1"/>
  <c r="F1608" i="1"/>
  <c r="G1608" i="1"/>
  <c r="J1608" i="1"/>
  <c r="A1609" i="1"/>
  <c r="D1609" i="1"/>
  <c r="E1609" i="1"/>
  <c r="F1609" i="1"/>
  <c r="G1609" i="1"/>
  <c r="J1609" i="1"/>
  <c r="A1607" i="1"/>
  <c r="C1607" i="1"/>
  <c r="D1607" i="1"/>
  <c r="F1607" i="1"/>
  <c r="G1607" i="1"/>
  <c r="H1607" i="1"/>
  <c r="J1607" i="1"/>
  <c r="A1605" i="1"/>
  <c r="C1605" i="1"/>
  <c r="D1605" i="1"/>
  <c r="F1605" i="1"/>
  <c r="G1605" i="1"/>
  <c r="J1605" i="1"/>
  <c r="A1606" i="1"/>
  <c r="C1606" i="1"/>
  <c r="D1606" i="1"/>
  <c r="F1606" i="1"/>
  <c r="G1606" i="1"/>
  <c r="J1606" i="1"/>
  <c r="A1604" i="1"/>
  <c r="C1604" i="1"/>
  <c r="D1604" i="1"/>
  <c r="E1604" i="1"/>
  <c r="F1604" i="1"/>
  <c r="G1604" i="1"/>
  <c r="J1604" i="1"/>
  <c r="A1602" i="1"/>
  <c r="C1602" i="1"/>
  <c r="D1602" i="1"/>
  <c r="F1602" i="1"/>
  <c r="G1602" i="1"/>
  <c r="J1602" i="1"/>
  <c r="A1603" i="1"/>
  <c r="C1603" i="1"/>
  <c r="D1603" i="1"/>
  <c r="F1603" i="1"/>
  <c r="G1603" i="1"/>
  <c r="J1603" i="1"/>
  <c r="A1601" i="1"/>
  <c r="C1601" i="1"/>
  <c r="D1601" i="1"/>
  <c r="F1601" i="1"/>
  <c r="G1601" i="1"/>
  <c r="J1601" i="1"/>
  <c r="A1600" i="1"/>
  <c r="C1600" i="1"/>
  <c r="D1600" i="1"/>
  <c r="F1600" i="1"/>
  <c r="G1600" i="1"/>
  <c r="J1600" i="1"/>
  <c r="A1599" i="1"/>
  <c r="C1599" i="1"/>
  <c r="D1599" i="1"/>
  <c r="E1599" i="1"/>
  <c r="F1599" i="1"/>
  <c r="G1599" i="1"/>
  <c r="J1599" i="1"/>
  <c r="A1598" i="1"/>
  <c r="C1598" i="1"/>
  <c r="D1598" i="1"/>
  <c r="F1598" i="1"/>
  <c r="G1598" i="1"/>
  <c r="J1598" i="1"/>
  <c r="A1597" i="1"/>
  <c r="C1597" i="1"/>
  <c r="D1597" i="1"/>
  <c r="F1597" i="1"/>
  <c r="G1597" i="1"/>
  <c r="J1597" i="1"/>
  <c r="A1596" i="1"/>
  <c r="C1596" i="1"/>
  <c r="D1596" i="1"/>
  <c r="F1596" i="1"/>
  <c r="G1596" i="1"/>
  <c r="J1596" i="1"/>
  <c r="A1595" i="1"/>
  <c r="C1595" i="1"/>
  <c r="D1595" i="1"/>
  <c r="F1595" i="1"/>
  <c r="G1595" i="1"/>
  <c r="J1595" i="1"/>
  <c r="A1594" i="1"/>
  <c r="C1594" i="1"/>
  <c r="D1594" i="1"/>
  <c r="F1594" i="1"/>
  <c r="G1594" i="1"/>
  <c r="J1594" i="1"/>
  <c r="A1593" i="1"/>
  <c r="C1593" i="1"/>
  <c r="D1593" i="1"/>
  <c r="F1593" i="1"/>
  <c r="G1593" i="1"/>
  <c r="J1593" i="1"/>
  <c r="A1592" i="1"/>
  <c r="C1592" i="1"/>
  <c r="D1592" i="1"/>
  <c r="F1592" i="1"/>
  <c r="G1592" i="1"/>
  <c r="J1592" i="1"/>
  <c r="A1591" i="1"/>
  <c r="C1591" i="1"/>
  <c r="D1591" i="1"/>
  <c r="F1591" i="1"/>
  <c r="G1591" i="1"/>
  <c r="J1591" i="1"/>
  <c r="A1590" i="1"/>
  <c r="C1590" i="1"/>
  <c r="E1590" i="1"/>
  <c r="F1590" i="1"/>
  <c r="G1590" i="1"/>
  <c r="J1590" i="1"/>
  <c r="A1589" i="1"/>
  <c r="C1589" i="1"/>
  <c r="D1589" i="1"/>
  <c r="F1589" i="1"/>
  <c r="G1589" i="1"/>
  <c r="H1589" i="1"/>
  <c r="J1589" i="1"/>
  <c r="A1588" i="1"/>
  <c r="C1588" i="1"/>
  <c r="D1588" i="1"/>
  <c r="F1588" i="1"/>
  <c r="G1588" i="1"/>
  <c r="J1588" i="1"/>
  <c r="A1587" i="1"/>
  <c r="C1587" i="1"/>
  <c r="D1587" i="1"/>
  <c r="F1587" i="1"/>
  <c r="G1587" i="1"/>
  <c r="J1587" i="1"/>
  <c r="A1586" i="1"/>
  <c r="C1586" i="1"/>
  <c r="D1586" i="1"/>
  <c r="F1586" i="1"/>
  <c r="G1586" i="1"/>
  <c r="J1586" i="1"/>
  <c r="A1585" i="1"/>
  <c r="C1585" i="1"/>
  <c r="D1585" i="1"/>
  <c r="F1585" i="1"/>
  <c r="G1585" i="1"/>
  <c r="J1585" i="1"/>
  <c r="A1584" i="1"/>
  <c r="C1584" i="1"/>
  <c r="D1584" i="1"/>
  <c r="F1584" i="1"/>
  <c r="G1584" i="1"/>
  <c r="J1584" i="1"/>
  <c r="A1583" i="1"/>
  <c r="C1583" i="1"/>
  <c r="D1583" i="1"/>
  <c r="F1583" i="1"/>
  <c r="G1583" i="1"/>
  <c r="J1583" i="1"/>
  <c r="A1582" i="1"/>
  <c r="C1582" i="1"/>
  <c r="D1582" i="1"/>
  <c r="F1582" i="1"/>
  <c r="G1582" i="1"/>
  <c r="J1582" i="1"/>
  <c r="A1581" i="1"/>
  <c r="D1581" i="1"/>
  <c r="F1581" i="1"/>
  <c r="G1581" i="1"/>
  <c r="J1581" i="1"/>
  <c r="A1580" i="1"/>
  <c r="C1580" i="1"/>
  <c r="D1580" i="1"/>
  <c r="F1580" i="1"/>
  <c r="G1580" i="1"/>
  <c r="J1580" i="1"/>
  <c r="A1579" i="1"/>
  <c r="C1579" i="1"/>
  <c r="D1579" i="1"/>
  <c r="F1579" i="1"/>
  <c r="G1579" i="1"/>
  <c r="J1579" i="1"/>
  <c r="A1578" i="1"/>
  <c r="D1578" i="1"/>
  <c r="F1578" i="1"/>
  <c r="G1578" i="1"/>
  <c r="J1578" i="1"/>
  <c r="A1577" i="1"/>
  <c r="D1577" i="1"/>
  <c r="F1577" i="1"/>
  <c r="G1577" i="1"/>
  <c r="J1577" i="1"/>
  <c r="A1576" i="1"/>
  <c r="D1576" i="1"/>
  <c r="F1576" i="1"/>
  <c r="G1576" i="1"/>
  <c r="J1576" i="1"/>
  <c r="A1575" i="1"/>
  <c r="C1575" i="1"/>
  <c r="D1575" i="1"/>
  <c r="E1575" i="1"/>
  <c r="F1575" i="1"/>
  <c r="G1575" i="1"/>
  <c r="J1575" i="1"/>
  <c r="A1574" i="1"/>
  <c r="C1574" i="1"/>
  <c r="D1574" i="1"/>
  <c r="E1574" i="1"/>
  <c r="F1574" i="1"/>
  <c r="G1574" i="1"/>
  <c r="J1574" i="1"/>
  <c r="A1573" i="1"/>
  <c r="C1573" i="1"/>
  <c r="D1573" i="1"/>
  <c r="F1573" i="1"/>
  <c r="G1573" i="1"/>
  <c r="J1573" i="1"/>
  <c r="A1572" i="1"/>
  <c r="C1572" i="1"/>
  <c r="D1572" i="1"/>
  <c r="E1572" i="1"/>
  <c r="F1572" i="1"/>
  <c r="G1572" i="1"/>
  <c r="H1572" i="1"/>
  <c r="J1572" i="1"/>
  <c r="A1571" i="1"/>
  <c r="C1571" i="1"/>
  <c r="D1571" i="1"/>
  <c r="E1571" i="1"/>
  <c r="F1571" i="1"/>
  <c r="G1571" i="1"/>
  <c r="H1571" i="1"/>
  <c r="J1571" i="1"/>
  <c r="A1570" i="1"/>
  <c r="C1570" i="1"/>
  <c r="D1570" i="1"/>
  <c r="E1570" i="1"/>
  <c r="F1570" i="1"/>
  <c r="G1570" i="1"/>
  <c r="H1570" i="1"/>
  <c r="I1570" i="1"/>
  <c r="J1570" i="1"/>
  <c r="A1569" i="1"/>
  <c r="C1569" i="1"/>
  <c r="D1569" i="1"/>
  <c r="E1569" i="1"/>
  <c r="F1569" i="1"/>
  <c r="G1569" i="1"/>
  <c r="H1569" i="1"/>
  <c r="I1569" i="1"/>
  <c r="J1569" i="1"/>
  <c r="A1568" i="1"/>
  <c r="C1568" i="1"/>
  <c r="D1568" i="1"/>
  <c r="F1568" i="1"/>
  <c r="G1568" i="1"/>
  <c r="J1568" i="1"/>
  <c r="A1567" i="1"/>
  <c r="C1567" i="1"/>
  <c r="D1567" i="1"/>
  <c r="E1567" i="1"/>
  <c r="F1567" i="1"/>
  <c r="G1567" i="1"/>
  <c r="J1567" i="1"/>
  <c r="A1566" i="1"/>
  <c r="C1566" i="1"/>
  <c r="D1566" i="1"/>
  <c r="E1566" i="1"/>
  <c r="F1566" i="1"/>
  <c r="G1566" i="1"/>
  <c r="J1566" i="1"/>
  <c r="A1565" i="1"/>
  <c r="C1565" i="1"/>
  <c r="D1565" i="1"/>
  <c r="E1565" i="1"/>
  <c r="F1565" i="1"/>
  <c r="G1565" i="1"/>
  <c r="H1565" i="1"/>
  <c r="I1565" i="1"/>
  <c r="J1565" i="1"/>
  <c r="A1564" i="1"/>
  <c r="C1564" i="1"/>
  <c r="D1564" i="1"/>
  <c r="E1564" i="1"/>
  <c r="F1564" i="1"/>
  <c r="G1564" i="1"/>
  <c r="H1564" i="1"/>
  <c r="I1564" i="1"/>
  <c r="J1564" i="1"/>
  <c r="A1563" i="1"/>
  <c r="C1563" i="1"/>
  <c r="D1563" i="1"/>
  <c r="E1563" i="1"/>
  <c r="F1563" i="1"/>
  <c r="G1563" i="1"/>
  <c r="J1563" i="1"/>
  <c r="A1561" i="1"/>
  <c r="C1561" i="1"/>
  <c r="D1561" i="1"/>
  <c r="F1561" i="1"/>
  <c r="G1561" i="1"/>
  <c r="J1561" i="1"/>
  <c r="L1561" i="1"/>
  <c r="A1562" i="1"/>
  <c r="C1562" i="1"/>
  <c r="D1562" i="1"/>
  <c r="E1562" i="1"/>
  <c r="F1562" i="1"/>
  <c r="G1562" i="1"/>
  <c r="H1562" i="1"/>
  <c r="I1562" i="1"/>
  <c r="J1562" i="1"/>
  <c r="A1560" i="1"/>
  <c r="C1560" i="1"/>
  <c r="D1560" i="1"/>
  <c r="E1560" i="1"/>
  <c r="F1560" i="1"/>
  <c r="G1560" i="1"/>
  <c r="H1560" i="1"/>
  <c r="I1560" i="1"/>
  <c r="J1560" i="1"/>
  <c r="A1558" i="1"/>
  <c r="C1558" i="1"/>
  <c r="D1558" i="1"/>
  <c r="F1558" i="1"/>
  <c r="G1558" i="1"/>
  <c r="J1558" i="1"/>
  <c r="L1558" i="1"/>
  <c r="A1559" i="1"/>
  <c r="C1559" i="1"/>
  <c r="D1559" i="1"/>
  <c r="E1559" i="1"/>
  <c r="F1559" i="1"/>
  <c r="G1559" i="1"/>
  <c r="J1559" i="1"/>
  <c r="A1557" i="1"/>
  <c r="D1557" i="1"/>
  <c r="E1557" i="1"/>
  <c r="F1557" i="1"/>
  <c r="G1557" i="1"/>
  <c r="J1557" i="1"/>
  <c r="A1556" i="1"/>
  <c r="C1556" i="1"/>
  <c r="D1556" i="1"/>
  <c r="F1556" i="1"/>
  <c r="G1556" i="1"/>
  <c r="J1556" i="1"/>
  <c r="A1555" i="1"/>
  <c r="C1555" i="1"/>
  <c r="D1555" i="1"/>
  <c r="F1555" i="1"/>
  <c r="G1555" i="1"/>
  <c r="J1555" i="1"/>
  <c r="A1554" i="1"/>
  <c r="C1554" i="1"/>
  <c r="D1554" i="1"/>
  <c r="F1554" i="1"/>
  <c r="G1554" i="1"/>
  <c r="J1554" i="1"/>
  <c r="A1553" i="1"/>
  <c r="C1553" i="1"/>
  <c r="D1553" i="1"/>
  <c r="F1553" i="1"/>
  <c r="G1553" i="1"/>
  <c r="J1553" i="1"/>
  <c r="L1553" i="1"/>
  <c r="A1552" i="1"/>
  <c r="E1552" i="1"/>
  <c r="F1552" i="1"/>
  <c r="G1552" i="1"/>
  <c r="J1552" i="1"/>
  <c r="A1551" i="1"/>
  <c r="C1551" i="1"/>
  <c r="D1551" i="1"/>
  <c r="F1551" i="1"/>
  <c r="G1551" i="1"/>
  <c r="J1551" i="1"/>
  <c r="A1550" i="1"/>
  <c r="C1550" i="1"/>
  <c r="D1550" i="1"/>
  <c r="F1550" i="1"/>
  <c r="G1550" i="1"/>
  <c r="J1550" i="1"/>
  <c r="L1550" i="1"/>
  <c r="A1549" i="1"/>
  <c r="C1549" i="1"/>
  <c r="D1549" i="1"/>
  <c r="F1549" i="1"/>
  <c r="G1549" i="1"/>
  <c r="H1549" i="1"/>
  <c r="J1549" i="1"/>
  <c r="A1548" i="1"/>
  <c r="C1548" i="1"/>
  <c r="D1548" i="1"/>
  <c r="E1548" i="1"/>
  <c r="F1548" i="1"/>
  <c r="G1548" i="1"/>
  <c r="J1548" i="1"/>
  <c r="A1547" i="1"/>
  <c r="D1547" i="1"/>
  <c r="F1547" i="1"/>
  <c r="G1547" i="1"/>
  <c r="J1547" i="1"/>
  <c r="A1546" i="1"/>
  <c r="C1546" i="1"/>
  <c r="D1546" i="1"/>
  <c r="F1546" i="1"/>
  <c r="G1546" i="1"/>
  <c r="J1546" i="1"/>
  <c r="A1545" i="1"/>
  <c r="C1545" i="1"/>
  <c r="D1545" i="1"/>
  <c r="F1545" i="1"/>
  <c r="G1545" i="1"/>
  <c r="J1545" i="1"/>
  <c r="A1544" i="1"/>
  <c r="C1544" i="1"/>
  <c r="D1544" i="1"/>
  <c r="F1544" i="1"/>
  <c r="G1544" i="1"/>
  <c r="J1544" i="1"/>
  <c r="A1543" i="1"/>
  <c r="D1543" i="1"/>
  <c r="F1543" i="1"/>
  <c r="G1543" i="1"/>
  <c r="J1543" i="1"/>
  <c r="A1542" i="1"/>
  <c r="C1542" i="1"/>
  <c r="D1542" i="1"/>
  <c r="E1542" i="1"/>
  <c r="F1542" i="1"/>
  <c r="G1542" i="1"/>
  <c r="J1542" i="1"/>
  <c r="A1541" i="1"/>
  <c r="C1541" i="1"/>
  <c r="D1541" i="1"/>
  <c r="E1541" i="1"/>
  <c r="F1541" i="1"/>
  <c r="G1541" i="1"/>
  <c r="J1541" i="1"/>
  <c r="A1540" i="1"/>
  <c r="C1540" i="1"/>
  <c r="D1540" i="1"/>
  <c r="F1540" i="1"/>
  <c r="G1540" i="1"/>
  <c r="J1540" i="1"/>
  <c r="A1539" i="1"/>
  <c r="C1539" i="1"/>
  <c r="D1539" i="1"/>
  <c r="F1539" i="1"/>
  <c r="G1539" i="1"/>
  <c r="J1539" i="1"/>
  <c r="A1538" i="1"/>
  <c r="C1538" i="1"/>
  <c r="D1538" i="1"/>
  <c r="E1538" i="1"/>
  <c r="F1538" i="1"/>
  <c r="G1538" i="1"/>
  <c r="J1538" i="1"/>
  <c r="A1537" i="1"/>
  <c r="D1537" i="1"/>
  <c r="F1537" i="1"/>
  <c r="G1537" i="1"/>
  <c r="J1537" i="1"/>
  <c r="A1536" i="1"/>
  <c r="C1536" i="1"/>
  <c r="D1536" i="1"/>
  <c r="F1536" i="1"/>
  <c r="G1536" i="1"/>
  <c r="J1536" i="1"/>
  <c r="A1535" i="1"/>
  <c r="C1535" i="1"/>
  <c r="D1535" i="1"/>
  <c r="F1535" i="1"/>
  <c r="G1535" i="1"/>
  <c r="J1535" i="1"/>
  <c r="A1533" i="1"/>
  <c r="C1533" i="1"/>
  <c r="D1533" i="1"/>
  <c r="F1533" i="1"/>
  <c r="G1533" i="1"/>
  <c r="J1533" i="1"/>
  <c r="L1533" i="1"/>
  <c r="A1534" i="1"/>
  <c r="D1534" i="1"/>
  <c r="F1534" i="1"/>
  <c r="G1534" i="1"/>
  <c r="J1534" i="1"/>
  <c r="A1532" i="1"/>
  <c r="C1532" i="1"/>
  <c r="D1532" i="1"/>
  <c r="E1532" i="1"/>
  <c r="F1532" i="1"/>
  <c r="G1532" i="1"/>
  <c r="J1532" i="1"/>
  <c r="A1531" i="1"/>
  <c r="D1531" i="1"/>
  <c r="F1531" i="1"/>
  <c r="G1531" i="1"/>
  <c r="J1531" i="1"/>
  <c r="A1530" i="1"/>
  <c r="C1530" i="1"/>
  <c r="D1530" i="1"/>
  <c r="F1530" i="1"/>
  <c r="G1530" i="1"/>
  <c r="J1530" i="1"/>
  <c r="L1530" i="1"/>
  <c r="A1529" i="1"/>
  <c r="C1529" i="1"/>
  <c r="E1529" i="1"/>
  <c r="F1529" i="1"/>
  <c r="G1529" i="1"/>
  <c r="J1529" i="1"/>
  <c r="A1528" i="1"/>
  <c r="D1528" i="1"/>
  <c r="F1528" i="1"/>
  <c r="G1528" i="1"/>
  <c r="J1528" i="1"/>
  <c r="A1527" i="1"/>
  <c r="C1527" i="1"/>
  <c r="D1527" i="1"/>
  <c r="E1527" i="1"/>
  <c r="F1527" i="1"/>
  <c r="G1527" i="1"/>
  <c r="J1527" i="1"/>
  <c r="A1525" i="1"/>
  <c r="C1525" i="1"/>
  <c r="D1525" i="1"/>
  <c r="F1525" i="1"/>
  <c r="G1525" i="1"/>
  <c r="J1525" i="1"/>
  <c r="A1526" i="1"/>
  <c r="D1526" i="1"/>
  <c r="F1526" i="1"/>
  <c r="G1526" i="1"/>
  <c r="J1526" i="1"/>
  <c r="A1524" i="1"/>
  <c r="C1524" i="1"/>
  <c r="D1524" i="1"/>
  <c r="F1524" i="1"/>
  <c r="G1524" i="1"/>
  <c r="J1524" i="1"/>
  <c r="A1523" i="1"/>
  <c r="C1523" i="1"/>
  <c r="D1523" i="1"/>
  <c r="F1523" i="1"/>
  <c r="G1523" i="1"/>
  <c r="J1523" i="1"/>
  <c r="A1522" i="1"/>
  <c r="C1522" i="1"/>
  <c r="D1522" i="1"/>
  <c r="F1522" i="1"/>
  <c r="G1522" i="1"/>
  <c r="J1522" i="1"/>
  <c r="A1521" i="1"/>
  <c r="C1521" i="1"/>
  <c r="D1521" i="1"/>
  <c r="F1521" i="1"/>
  <c r="G1521" i="1"/>
  <c r="J1521" i="1"/>
  <c r="A1520" i="1"/>
  <c r="C1520" i="1"/>
  <c r="D1520" i="1"/>
  <c r="F1520" i="1"/>
  <c r="G1520" i="1"/>
  <c r="J1520" i="1"/>
  <c r="A1519" i="1"/>
  <c r="C1519" i="1"/>
  <c r="D1519" i="1"/>
  <c r="F1519" i="1"/>
  <c r="G1519" i="1"/>
  <c r="J1519" i="1"/>
  <c r="A1518" i="1"/>
  <c r="D1518" i="1"/>
  <c r="F1518" i="1"/>
  <c r="G1518" i="1"/>
  <c r="J1518" i="1"/>
  <c r="A1517" i="1"/>
  <c r="D1517" i="1"/>
  <c r="E1517" i="1"/>
  <c r="F1517" i="1"/>
  <c r="G1517" i="1"/>
  <c r="H1517" i="1"/>
  <c r="J1517" i="1"/>
  <c r="A1516" i="1"/>
  <c r="C1516" i="1"/>
  <c r="D1516" i="1"/>
  <c r="E1516" i="1"/>
  <c r="F1516" i="1"/>
  <c r="G1516" i="1"/>
  <c r="J1516" i="1"/>
  <c r="A1515" i="1"/>
  <c r="C1515" i="1"/>
  <c r="D1515" i="1"/>
  <c r="F1515" i="1"/>
  <c r="G1515" i="1"/>
  <c r="J1515" i="1"/>
  <c r="A1514" i="1"/>
  <c r="D1514" i="1"/>
  <c r="F1514" i="1"/>
  <c r="G1514" i="1"/>
  <c r="J1514" i="1"/>
  <c r="A1513" i="1"/>
  <c r="D1513" i="1"/>
  <c r="F1513" i="1"/>
  <c r="G1513" i="1"/>
  <c r="J1513" i="1"/>
  <c r="A1512" i="1"/>
  <c r="C1512" i="1"/>
  <c r="D1512" i="1"/>
  <c r="E1512" i="1"/>
  <c r="F1512" i="1"/>
  <c r="G1512" i="1"/>
  <c r="J1512" i="1"/>
  <c r="A1511" i="1"/>
  <c r="C1511" i="1"/>
  <c r="D1511" i="1"/>
  <c r="E1511" i="1"/>
  <c r="F1511" i="1"/>
  <c r="G1511" i="1"/>
  <c r="J1511" i="1"/>
  <c r="A1510" i="1"/>
  <c r="C1510" i="1"/>
  <c r="D1510" i="1"/>
  <c r="F1510" i="1"/>
  <c r="G1510" i="1"/>
  <c r="J1510" i="1"/>
  <c r="A1509" i="1"/>
  <c r="C1509" i="1"/>
  <c r="D1509" i="1"/>
  <c r="F1509" i="1"/>
  <c r="G1509" i="1"/>
  <c r="J1509" i="1"/>
  <c r="A1508" i="1"/>
  <c r="C1508" i="1"/>
  <c r="D1508" i="1"/>
  <c r="F1508" i="1"/>
  <c r="G1508" i="1"/>
  <c r="J1508" i="1"/>
  <c r="A1507" i="1"/>
  <c r="D1507" i="1"/>
  <c r="F1507" i="1"/>
  <c r="G1507" i="1"/>
  <c r="J1507" i="1"/>
  <c r="A1506" i="1"/>
  <c r="C1506" i="1"/>
  <c r="D1506" i="1"/>
  <c r="E1506" i="1"/>
  <c r="F1506" i="1"/>
  <c r="G1506" i="1"/>
  <c r="J1506" i="1"/>
  <c r="A1505" i="1"/>
  <c r="C1505" i="1"/>
  <c r="D1505" i="1"/>
  <c r="E1505" i="1"/>
  <c r="F1505" i="1"/>
  <c r="G1505" i="1"/>
  <c r="J1505" i="1"/>
  <c r="A1504" i="1"/>
  <c r="C1504" i="1"/>
  <c r="D1504" i="1"/>
  <c r="F1504" i="1"/>
  <c r="G1504" i="1"/>
  <c r="J1504" i="1"/>
  <c r="A1503" i="1"/>
  <c r="C1503" i="1"/>
  <c r="D1503" i="1"/>
  <c r="F1503" i="1"/>
  <c r="G1503" i="1"/>
  <c r="J1503" i="1"/>
  <c r="A1502" i="1"/>
  <c r="C1502" i="1"/>
  <c r="D1502" i="1"/>
  <c r="F1502" i="1"/>
  <c r="G1502" i="1"/>
  <c r="J1502" i="1"/>
  <c r="A1501" i="1"/>
  <c r="C1501" i="1"/>
  <c r="D1501" i="1"/>
  <c r="E1501" i="1"/>
  <c r="F1501" i="1"/>
  <c r="G1501" i="1"/>
  <c r="J1501" i="1"/>
  <c r="A1498" i="1"/>
  <c r="C1498" i="1"/>
  <c r="D1498" i="1"/>
  <c r="F1498" i="1"/>
  <c r="G1498" i="1"/>
  <c r="J1498" i="1"/>
  <c r="A1500" i="1"/>
  <c r="C1500" i="1"/>
  <c r="D1500" i="1"/>
  <c r="F1500" i="1"/>
  <c r="G1500" i="1"/>
  <c r="J1500" i="1"/>
  <c r="A1499" i="1"/>
  <c r="C1499" i="1"/>
  <c r="D1499" i="1"/>
  <c r="F1499" i="1"/>
  <c r="G1499" i="1"/>
  <c r="J1499" i="1"/>
  <c r="A1496" i="1"/>
  <c r="C1496" i="1"/>
  <c r="D1496" i="1"/>
  <c r="F1496" i="1"/>
  <c r="G1496" i="1"/>
  <c r="J1496" i="1"/>
  <c r="A1497" i="1"/>
  <c r="C1497" i="1"/>
  <c r="D1497" i="1"/>
  <c r="F1497" i="1"/>
  <c r="G1497" i="1"/>
  <c r="J1497" i="1"/>
  <c r="A1493" i="1"/>
  <c r="C1493" i="1"/>
  <c r="D1493" i="1"/>
  <c r="F1493" i="1"/>
  <c r="G1493" i="1"/>
  <c r="J1493" i="1"/>
  <c r="A1495" i="1"/>
  <c r="C1495" i="1"/>
  <c r="D1495" i="1"/>
  <c r="F1495" i="1"/>
  <c r="G1495" i="1"/>
  <c r="J1495" i="1"/>
  <c r="A1494" i="1"/>
  <c r="C1494" i="1"/>
  <c r="D1494" i="1"/>
  <c r="F1494" i="1"/>
  <c r="G1494" i="1"/>
  <c r="J1494" i="1"/>
  <c r="A1492" i="1"/>
  <c r="D1492" i="1"/>
  <c r="E1492" i="1"/>
  <c r="F1492" i="1"/>
  <c r="G1492" i="1"/>
  <c r="J1492" i="1"/>
  <c r="A1491" i="1"/>
  <c r="C1491" i="1"/>
  <c r="D1491" i="1"/>
  <c r="F1491" i="1"/>
  <c r="G1491" i="1"/>
  <c r="J1491" i="1"/>
  <c r="A1490" i="1"/>
  <c r="C1490" i="1"/>
  <c r="D1490" i="1"/>
  <c r="F1490" i="1"/>
  <c r="G1490" i="1"/>
  <c r="J1490" i="1"/>
  <c r="A1489" i="1"/>
  <c r="C1489" i="1"/>
  <c r="D1489" i="1"/>
  <c r="E1489" i="1"/>
  <c r="F1489" i="1"/>
  <c r="G1489" i="1"/>
  <c r="J1489" i="1"/>
  <c r="A1488" i="1"/>
  <c r="C1488" i="1"/>
  <c r="D1488" i="1"/>
  <c r="F1488" i="1"/>
  <c r="G1488" i="1"/>
  <c r="J1488" i="1"/>
  <c r="A1486" i="1"/>
  <c r="C1486" i="1"/>
  <c r="D1486" i="1"/>
  <c r="E1486" i="1"/>
  <c r="F1486" i="1"/>
  <c r="G1486" i="1"/>
  <c r="J1486" i="1"/>
  <c r="A1487" i="1"/>
  <c r="C1487" i="1"/>
  <c r="D1487" i="1"/>
  <c r="E1487" i="1"/>
  <c r="F1487" i="1"/>
  <c r="G1487" i="1"/>
  <c r="J1487" i="1"/>
  <c r="A1485" i="1"/>
  <c r="C1485" i="1"/>
  <c r="D1485" i="1"/>
  <c r="E1485" i="1"/>
  <c r="F1485" i="1"/>
  <c r="G1485" i="1"/>
  <c r="J1485" i="1"/>
  <c r="A1484" i="1"/>
  <c r="C1484" i="1"/>
  <c r="D1484" i="1"/>
  <c r="F1484" i="1"/>
  <c r="G1484" i="1"/>
  <c r="J1484" i="1"/>
  <c r="A1483" i="1"/>
  <c r="C1483" i="1"/>
  <c r="D1483" i="1"/>
  <c r="E1483" i="1"/>
  <c r="F1483" i="1"/>
  <c r="G1483" i="1"/>
  <c r="J1483" i="1"/>
  <c r="A1480" i="1"/>
  <c r="D1480" i="1"/>
  <c r="F1480" i="1"/>
  <c r="G1480" i="1"/>
  <c r="J1480" i="1"/>
  <c r="A1482" i="1"/>
  <c r="E1482" i="1"/>
  <c r="F1482" i="1"/>
  <c r="G1482" i="1"/>
  <c r="J1482" i="1"/>
  <c r="A1481" i="1"/>
  <c r="C1481" i="1"/>
  <c r="D1481" i="1"/>
  <c r="E1481" i="1"/>
  <c r="F1481" i="1"/>
  <c r="G1481" i="1"/>
  <c r="J1481" i="1"/>
  <c r="A1479" i="1"/>
  <c r="D1479" i="1"/>
  <c r="F1479" i="1"/>
  <c r="G1479" i="1"/>
  <c r="J1479" i="1"/>
  <c r="A1478" i="1"/>
  <c r="C1478" i="1"/>
  <c r="D1478" i="1"/>
  <c r="E1478" i="1"/>
  <c r="F1478" i="1"/>
  <c r="G1478" i="1"/>
  <c r="J1478" i="1"/>
  <c r="A1477" i="1"/>
  <c r="D1477" i="1"/>
  <c r="F1477" i="1"/>
  <c r="G1477" i="1"/>
  <c r="J1477" i="1"/>
  <c r="A1476" i="1"/>
  <c r="C1476" i="1"/>
  <c r="D1476" i="1"/>
  <c r="E1476" i="1"/>
  <c r="F1476" i="1"/>
  <c r="G1476" i="1"/>
  <c r="J1476" i="1"/>
  <c r="A1474" i="1"/>
  <c r="C1474" i="1"/>
  <c r="D1474" i="1"/>
  <c r="F1474" i="1"/>
  <c r="G1474" i="1"/>
  <c r="J1474" i="1"/>
  <c r="A1475" i="1"/>
  <c r="D1475" i="1"/>
  <c r="F1475" i="1"/>
  <c r="G1475" i="1"/>
  <c r="J1475" i="1"/>
  <c r="A1473" i="1"/>
  <c r="C1473" i="1"/>
  <c r="D1473" i="1"/>
  <c r="E1473" i="1"/>
  <c r="F1473" i="1"/>
  <c r="G1473" i="1"/>
  <c r="J1473" i="1"/>
  <c r="A1472" i="1"/>
  <c r="C1472" i="1"/>
  <c r="D1472" i="1"/>
  <c r="E1472" i="1"/>
  <c r="F1472" i="1"/>
  <c r="G1472" i="1"/>
  <c r="J1472" i="1"/>
  <c r="A1471" i="1"/>
  <c r="C1471" i="1"/>
  <c r="D1471" i="1"/>
  <c r="F1471" i="1"/>
  <c r="G1471" i="1"/>
  <c r="J1471" i="1"/>
  <c r="A1470" i="1"/>
  <c r="C1470" i="1"/>
  <c r="D1470" i="1"/>
  <c r="E1470" i="1"/>
  <c r="F1470" i="1"/>
  <c r="G1470" i="1"/>
  <c r="J1470" i="1"/>
  <c r="A1469" i="1"/>
  <c r="D1469" i="1"/>
  <c r="F1469" i="1"/>
  <c r="G1469" i="1"/>
  <c r="J1469" i="1"/>
  <c r="A1468" i="1"/>
  <c r="C1468" i="1"/>
  <c r="D1468" i="1"/>
  <c r="E1468" i="1"/>
  <c r="F1468" i="1"/>
  <c r="G1468" i="1"/>
  <c r="J1468" i="1"/>
  <c r="A1467" i="1"/>
  <c r="C1467" i="1"/>
  <c r="D1467" i="1"/>
  <c r="F1467" i="1"/>
  <c r="G1467" i="1"/>
  <c r="J1467" i="1"/>
  <c r="A1466" i="1"/>
  <c r="C1466" i="1"/>
  <c r="D1466" i="1"/>
  <c r="E1466" i="1"/>
  <c r="F1466" i="1"/>
  <c r="G1466" i="1"/>
  <c r="J1466" i="1"/>
  <c r="A1465" i="1"/>
  <c r="C1465" i="1"/>
  <c r="D1465" i="1"/>
  <c r="F1465" i="1"/>
  <c r="G1465" i="1"/>
  <c r="J1465" i="1"/>
  <c r="A1464" i="1"/>
  <c r="C1464" i="1"/>
  <c r="D1464" i="1"/>
  <c r="F1464" i="1"/>
  <c r="G1464" i="1"/>
  <c r="J1464" i="1"/>
  <c r="A1463" i="1"/>
  <c r="C1463" i="1"/>
  <c r="D1463" i="1"/>
  <c r="F1463" i="1"/>
  <c r="G1463" i="1"/>
  <c r="J1463" i="1"/>
  <c r="A1462" i="1"/>
  <c r="C1462" i="1"/>
  <c r="D1462" i="1"/>
  <c r="F1462" i="1"/>
  <c r="G1462" i="1"/>
  <c r="H1462" i="1"/>
  <c r="J1462" i="1"/>
  <c r="A1461" i="1"/>
  <c r="C1461" i="1"/>
  <c r="D1461" i="1"/>
  <c r="F1461" i="1"/>
  <c r="G1461" i="1"/>
  <c r="J1461" i="1"/>
  <c r="A1460" i="1"/>
  <c r="C1460" i="1"/>
  <c r="D1460" i="1"/>
  <c r="F1460" i="1"/>
  <c r="G1460" i="1"/>
  <c r="J1460" i="1"/>
  <c r="A1459" i="1"/>
  <c r="D1459" i="1"/>
  <c r="E1459" i="1"/>
  <c r="F1459" i="1"/>
  <c r="G1459" i="1"/>
  <c r="J1459" i="1"/>
  <c r="A1458" i="1"/>
  <c r="C1458" i="1"/>
  <c r="D1458" i="1"/>
  <c r="F1458" i="1"/>
  <c r="G1458" i="1"/>
  <c r="J1458" i="1"/>
  <c r="A1457" i="1"/>
  <c r="D1457" i="1"/>
  <c r="F1457" i="1"/>
  <c r="G1457" i="1"/>
  <c r="J1457" i="1"/>
  <c r="A1456" i="1"/>
  <c r="D1456" i="1"/>
  <c r="F1456" i="1"/>
  <c r="G1456" i="1"/>
  <c r="J1456" i="1"/>
  <c r="A1454" i="1"/>
  <c r="D1454" i="1"/>
  <c r="F1454" i="1"/>
  <c r="G1454" i="1"/>
  <c r="J1454" i="1"/>
  <c r="A1455" i="1"/>
  <c r="C1455" i="1"/>
  <c r="D1455" i="1"/>
  <c r="E1455" i="1"/>
  <c r="F1455" i="1"/>
  <c r="G1455" i="1"/>
  <c r="J1455" i="1"/>
  <c r="A1453" i="1"/>
  <c r="D1453" i="1"/>
  <c r="F1453" i="1"/>
  <c r="G1453" i="1"/>
  <c r="J1453" i="1"/>
  <c r="A1452" i="1"/>
  <c r="D1452" i="1"/>
  <c r="F1452" i="1"/>
  <c r="G1452" i="1"/>
  <c r="J1452" i="1"/>
  <c r="A1451" i="1"/>
  <c r="D1451" i="1"/>
  <c r="F1451" i="1"/>
  <c r="G1451" i="1"/>
  <c r="J1451" i="1"/>
  <c r="A1450" i="1"/>
  <c r="E1450" i="1"/>
  <c r="F1450" i="1"/>
  <c r="G1450" i="1"/>
  <c r="J1450" i="1"/>
  <c r="A1449" i="1"/>
  <c r="C1449" i="1"/>
  <c r="D1449" i="1"/>
  <c r="F1449" i="1"/>
  <c r="G1449" i="1"/>
  <c r="J1449" i="1"/>
  <c r="A1448" i="1"/>
  <c r="D1448" i="1"/>
  <c r="F1448" i="1"/>
  <c r="G1448" i="1"/>
  <c r="J1448" i="1"/>
  <c r="A1447" i="1"/>
  <c r="D1447" i="1"/>
  <c r="F1447" i="1"/>
  <c r="G1447" i="1"/>
  <c r="J1447" i="1"/>
  <c r="A1446" i="1"/>
  <c r="D1446" i="1"/>
  <c r="F1446" i="1"/>
  <c r="G1446" i="1"/>
  <c r="J1446" i="1"/>
  <c r="A1445" i="1"/>
  <c r="C1445" i="1"/>
  <c r="D1445" i="1"/>
  <c r="F1445" i="1"/>
  <c r="G1445" i="1"/>
  <c r="J1445" i="1"/>
  <c r="A1444" i="1"/>
  <c r="C1444" i="1"/>
  <c r="D1444" i="1"/>
  <c r="F1444" i="1"/>
  <c r="G1444" i="1"/>
  <c r="H1444" i="1"/>
  <c r="I1444" i="1"/>
  <c r="J1444" i="1"/>
  <c r="A1443" i="1"/>
  <c r="C1443" i="1"/>
  <c r="D1443" i="1"/>
  <c r="F1443" i="1"/>
  <c r="G1443" i="1"/>
  <c r="H1443" i="1"/>
  <c r="I1443" i="1"/>
  <c r="J1443" i="1"/>
  <c r="A1442" i="1"/>
  <c r="C1442" i="1"/>
  <c r="D1442" i="1"/>
  <c r="F1442" i="1"/>
  <c r="G1442" i="1"/>
  <c r="J1442" i="1"/>
  <c r="A1441" i="1"/>
  <c r="C1441" i="1"/>
  <c r="F1441" i="1"/>
  <c r="G1441" i="1"/>
  <c r="H1441" i="1"/>
  <c r="I1441" i="1"/>
  <c r="J1441" i="1"/>
  <c r="A1440" i="1"/>
  <c r="C1440" i="1"/>
  <c r="D1440" i="1"/>
  <c r="F1440" i="1"/>
  <c r="G1440" i="1"/>
  <c r="J1440" i="1"/>
  <c r="A1438" i="1"/>
  <c r="C1438" i="1"/>
  <c r="D1438" i="1"/>
  <c r="F1438" i="1"/>
  <c r="G1438" i="1"/>
  <c r="J1438" i="1"/>
  <c r="A1439" i="1"/>
  <c r="C1439" i="1"/>
  <c r="D1439" i="1"/>
  <c r="F1439" i="1"/>
  <c r="G1439" i="1"/>
  <c r="H1439" i="1"/>
  <c r="J1439" i="1"/>
  <c r="L1439" i="1"/>
  <c r="A1437" i="1"/>
  <c r="C1437" i="1"/>
  <c r="F1437" i="1"/>
  <c r="G1437" i="1"/>
  <c r="H1437" i="1"/>
  <c r="I1437" i="1"/>
  <c r="J1437" i="1"/>
  <c r="L1437" i="1"/>
  <c r="A1436" i="1"/>
  <c r="C1436" i="1"/>
  <c r="D1436" i="1"/>
  <c r="F1436" i="1"/>
  <c r="G1436" i="1"/>
  <c r="J1436" i="1"/>
  <c r="A1435" i="1"/>
  <c r="C1435" i="1"/>
  <c r="D1435" i="1"/>
  <c r="F1435" i="1"/>
  <c r="G1435" i="1"/>
  <c r="J1435" i="1"/>
  <c r="A1434" i="1"/>
  <c r="C1434" i="1"/>
  <c r="D1434" i="1"/>
  <c r="F1434" i="1"/>
  <c r="G1434" i="1"/>
  <c r="H1434" i="1"/>
  <c r="I1434" i="1"/>
  <c r="J1434" i="1"/>
  <c r="A1433" i="1"/>
  <c r="C1433" i="1"/>
  <c r="D1433" i="1"/>
  <c r="F1433" i="1"/>
  <c r="G1433" i="1"/>
  <c r="J1433" i="1"/>
  <c r="L1433" i="1"/>
  <c r="A1432" i="1"/>
  <c r="C1432" i="1"/>
  <c r="D1432" i="1"/>
  <c r="F1432" i="1"/>
  <c r="G1432" i="1"/>
  <c r="J1432" i="1"/>
  <c r="L1432" i="1"/>
  <c r="A1431" i="1"/>
  <c r="D1431" i="1"/>
  <c r="E1431" i="1"/>
  <c r="F1431" i="1"/>
  <c r="G1431" i="1"/>
  <c r="J1431" i="1"/>
  <c r="A1430" i="1"/>
  <c r="E1430" i="1"/>
  <c r="F1430" i="1"/>
  <c r="G1430" i="1"/>
  <c r="J1430" i="1"/>
  <c r="A1429" i="1"/>
  <c r="D1429" i="1"/>
  <c r="F1429" i="1"/>
  <c r="G1429" i="1"/>
  <c r="J1429" i="1"/>
  <c r="A1428" i="1"/>
  <c r="D1428" i="1"/>
  <c r="F1428" i="1"/>
  <c r="G1428" i="1"/>
  <c r="J1428" i="1"/>
  <c r="A1427" i="1"/>
  <c r="E1427" i="1"/>
  <c r="F1427" i="1"/>
  <c r="G1427" i="1"/>
  <c r="J1427" i="1"/>
  <c r="A1426" i="1"/>
  <c r="C1426" i="1"/>
  <c r="D1426" i="1"/>
  <c r="F1426" i="1"/>
  <c r="G1426" i="1"/>
  <c r="J1426" i="1"/>
  <c r="A1425" i="1"/>
  <c r="C1425" i="1"/>
  <c r="D1425" i="1"/>
  <c r="E1425" i="1"/>
  <c r="F1425" i="1"/>
  <c r="G1425" i="1"/>
  <c r="J1425" i="1"/>
  <c r="A1424" i="1"/>
  <c r="C1424" i="1"/>
  <c r="D1424" i="1"/>
  <c r="F1424" i="1"/>
  <c r="G1424" i="1"/>
  <c r="J1424" i="1"/>
  <c r="A1423" i="1"/>
  <c r="C1423" i="1"/>
  <c r="D1423" i="1"/>
  <c r="F1423" i="1"/>
  <c r="G1423" i="1"/>
  <c r="J1423" i="1"/>
  <c r="A1422" i="1"/>
  <c r="D1422" i="1"/>
  <c r="F1422" i="1"/>
  <c r="G1422" i="1"/>
  <c r="J1422" i="1"/>
  <c r="A1421" i="1"/>
  <c r="C1421" i="1"/>
  <c r="D1421" i="1"/>
  <c r="E1421" i="1"/>
  <c r="F1421" i="1"/>
  <c r="G1421" i="1"/>
  <c r="J1421" i="1"/>
  <c r="A1420" i="1"/>
  <c r="D1420" i="1"/>
  <c r="F1420" i="1"/>
  <c r="G1420" i="1"/>
  <c r="J1420" i="1"/>
  <c r="A1419" i="1"/>
  <c r="D1419" i="1"/>
  <c r="F1419" i="1"/>
  <c r="G1419" i="1"/>
  <c r="J1419" i="1"/>
  <c r="A1418" i="1"/>
  <c r="D1418" i="1"/>
  <c r="F1418" i="1"/>
  <c r="G1418" i="1"/>
  <c r="J1418" i="1"/>
  <c r="A1417" i="1"/>
  <c r="C1417" i="1"/>
  <c r="D1417" i="1"/>
  <c r="E1417" i="1"/>
  <c r="F1417" i="1"/>
  <c r="G1417" i="1"/>
  <c r="J1417" i="1"/>
  <c r="A1416" i="1"/>
  <c r="D1416" i="1"/>
  <c r="E1416" i="1"/>
  <c r="F1416" i="1"/>
  <c r="G1416" i="1"/>
  <c r="J1416" i="1"/>
  <c r="A1415" i="1"/>
  <c r="E1415" i="1"/>
  <c r="F1415" i="1"/>
  <c r="J1415" i="1"/>
  <c r="A1414" i="1"/>
  <c r="E1414" i="1"/>
  <c r="F1414" i="1"/>
  <c r="G1414" i="1"/>
  <c r="J1414" i="1"/>
  <c r="A1413" i="1"/>
  <c r="C1413" i="1"/>
  <c r="D1413" i="1"/>
  <c r="F1413" i="1"/>
  <c r="G1413" i="1"/>
  <c r="J1413" i="1"/>
  <c r="A1412" i="1"/>
  <c r="D1412" i="1"/>
  <c r="F1412" i="1"/>
  <c r="G1412" i="1"/>
  <c r="J1412" i="1"/>
  <c r="A1411" i="1"/>
  <c r="C1411" i="1"/>
  <c r="D1411" i="1"/>
  <c r="F1411" i="1"/>
  <c r="G1411" i="1"/>
  <c r="J1411" i="1"/>
  <c r="A1410" i="1"/>
  <c r="C1410" i="1"/>
  <c r="D1410" i="1"/>
  <c r="F1410" i="1"/>
  <c r="G1410" i="1"/>
  <c r="J1410" i="1"/>
  <c r="A1409" i="1"/>
  <c r="D1409" i="1"/>
  <c r="F1409" i="1"/>
  <c r="G1409" i="1"/>
  <c r="J1409" i="1"/>
  <c r="A1407" i="1"/>
  <c r="C1407" i="1"/>
  <c r="D1407" i="1"/>
  <c r="F1407" i="1"/>
  <c r="G1407" i="1"/>
  <c r="J1407" i="1"/>
  <c r="A1408" i="1"/>
  <c r="D1408" i="1"/>
  <c r="E1408" i="1"/>
  <c r="F1408" i="1"/>
  <c r="G1408" i="1"/>
  <c r="J1408" i="1"/>
  <c r="A1406" i="1"/>
  <c r="D1406" i="1"/>
  <c r="F1406" i="1"/>
  <c r="G1406" i="1"/>
  <c r="J1406" i="1"/>
  <c r="A1405" i="1"/>
  <c r="D1405" i="1"/>
  <c r="E1405" i="1"/>
  <c r="F1405" i="1"/>
  <c r="G1405" i="1"/>
  <c r="J1405" i="1"/>
  <c r="A1404" i="1"/>
  <c r="C1404" i="1"/>
  <c r="D1404" i="1"/>
  <c r="F1404" i="1"/>
  <c r="G1404" i="1"/>
  <c r="J1404" i="1"/>
  <c r="A1403" i="1"/>
  <c r="D1403" i="1"/>
  <c r="E1403" i="1"/>
  <c r="F1403" i="1"/>
  <c r="G1403" i="1"/>
  <c r="J1403" i="1"/>
  <c r="A1402" i="1"/>
  <c r="C1402" i="1"/>
  <c r="D1402" i="1"/>
  <c r="E1402" i="1"/>
  <c r="F1402" i="1"/>
  <c r="G1402" i="1"/>
  <c r="J1402" i="1"/>
  <c r="A1401" i="1"/>
  <c r="C1401" i="1"/>
  <c r="D1401" i="1"/>
  <c r="F1401" i="1"/>
  <c r="G1401" i="1"/>
  <c r="J1401" i="1"/>
  <c r="A1400" i="1"/>
  <c r="C1400" i="1"/>
  <c r="D1400" i="1"/>
  <c r="F1400" i="1"/>
  <c r="G1400" i="1"/>
  <c r="J1400" i="1"/>
  <c r="A1399" i="1"/>
  <c r="E1399" i="1"/>
  <c r="F1399" i="1"/>
  <c r="G1399" i="1"/>
  <c r="J1399" i="1"/>
  <c r="A1398" i="1"/>
  <c r="C1398" i="1"/>
  <c r="D1398" i="1"/>
  <c r="F1398" i="1"/>
  <c r="G1398" i="1"/>
  <c r="J1398" i="1"/>
  <c r="A1397" i="1"/>
  <c r="C1397" i="1"/>
  <c r="D1397" i="1"/>
  <c r="F1397" i="1"/>
  <c r="G1397" i="1"/>
  <c r="J1397" i="1"/>
  <c r="A1396" i="1"/>
  <c r="D1396" i="1"/>
  <c r="F1396" i="1"/>
  <c r="G1396" i="1"/>
  <c r="J1396" i="1"/>
  <c r="A1394" i="1"/>
  <c r="C1394" i="1"/>
  <c r="D1394" i="1"/>
  <c r="F1394" i="1"/>
  <c r="G1394" i="1"/>
  <c r="J1394" i="1"/>
  <c r="A1395" i="1"/>
  <c r="E1395" i="1"/>
  <c r="F1395" i="1"/>
  <c r="J1395" i="1"/>
  <c r="A1393" i="1"/>
  <c r="C1393" i="1"/>
  <c r="D1393" i="1"/>
  <c r="F1393" i="1"/>
  <c r="G1393" i="1"/>
  <c r="J1393" i="1"/>
  <c r="A1392" i="1"/>
  <c r="C1392" i="1"/>
  <c r="D1392" i="1"/>
  <c r="F1392" i="1"/>
  <c r="G1392" i="1"/>
  <c r="J1392" i="1"/>
  <c r="L1392" i="1"/>
  <c r="A1391" i="1"/>
  <c r="E1391" i="1"/>
  <c r="F1391" i="1"/>
  <c r="G1391" i="1"/>
  <c r="J1391" i="1"/>
  <c r="A1390" i="1"/>
  <c r="D1390" i="1"/>
  <c r="F1390" i="1"/>
  <c r="G1390" i="1"/>
  <c r="J1390" i="1"/>
  <c r="A1389" i="1"/>
  <c r="D1389" i="1"/>
  <c r="E1389" i="1"/>
  <c r="F1389" i="1"/>
  <c r="G1389" i="1"/>
  <c r="J1389" i="1"/>
  <c r="A1388" i="1"/>
  <c r="D1388" i="1"/>
  <c r="F1388" i="1"/>
  <c r="G1388" i="1"/>
  <c r="J1388" i="1"/>
  <c r="A1387" i="1"/>
  <c r="C1387" i="1"/>
  <c r="D1387" i="1"/>
  <c r="E1387" i="1"/>
  <c r="F1387" i="1"/>
  <c r="G1387" i="1"/>
  <c r="H1387" i="1"/>
  <c r="J1387" i="1"/>
  <c r="A1386" i="1"/>
  <c r="D1386" i="1"/>
  <c r="F1386" i="1"/>
  <c r="G1386" i="1"/>
  <c r="J1386" i="1"/>
  <c r="A1385" i="1"/>
  <c r="C1385" i="1"/>
  <c r="D1385" i="1"/>
  <c r="E1385" i="1"/>
  <c r="F1385" i="1"/>
  <c r="G1385" i="1"/>
  <c r="H1385" i="1"/>
  <c r="J1385" i="1"/>
  <c r="A1384" i="1"/>
  <c r="C1384" i="1"/>
  <c r="D1384" i="1"/>
  <c r="E1384" i="1"/>
  <c r="F1384" i="1"/>
  <c r="G1384" i="1"/>
  <c r="J1384" i="1"/>
  <c r="A1383" i="1"/>
  <c r="C1383" i="1"/>
  <c r="E1383" i="1"/>
  <c r="F1383" i="1"/>
  <c r="G1383" i="1"/>
  <c r="J1383" i="1"/>
  <c r="A1382" i="1"/>
  <c r="D1382" i="1"/>
  <c r="F1382" i="1"/>
  <c r="G1382" i="1"/>
  <c r="J1382" i="1"/>
  <c r="A1380" i="1"/>
  <c r="C1380" i="1"/>
  <c r="D1380" i="1"/>
  <c r="F1380" i="1"/>
  <c r="G1380" i="1"/>
  <c r="J1380" i="1"/>
  <c r="A1381" i="1"/>
  <c r="C1381" i="1"/>
  <c r="D1381" i="1"/>
  <c r="F1381" i="1"/>
  <c r="G1381" i="1"/>
  <c r="J1381" i="1"/>
  <c r="A1379" i="1"/>
  <c r="C1379" i="1"/>
  <c r="D1379" i="1"/>
  <c r="F1379" i="1"/>
  <c r="G1379" i="1"/>
  <c r="J1379" i="1"/>
  <c r="A1378" i="1"/>
  <c r="C1378" i="1"/>
  <c r="D1378" i="1"/>
  <c r="E1378" i="1"/>
  <c r="F1378" i="1"/>
  <c r="G1378" i="1"/>
  <c r="J1378" i="1"/>
  <c r="A1377" i="1"/>
  <c r="D1377" i="1"/>
  <c r="F1377" i="1"/>
  <c r="G1377" i="1"/>
  <c r="J1377" i="1"/>
  <c r="A1375" i="1"/>
  <c r="C1375" i="1"/>
  <c r="D1375" i="1"/>
  <c r="F1375" i="1"/>
  <c r="G1375" i="1"/>
  <c r="J1375" i="1"/>
  <c r="A1376" i="1"/>
  <c r="D1376" i="1"/>
  <c r="F1376" i="1"/>
  <c r="G1376" i="1"/>
  <c r="J1376" i="1"/>
  <c r="A1374" i="1"/>
  <c r="C1374" i="1"/>
  <c r="D1374" i="1"/>
  <c r="F1374" i="1"/>
  <c r="G1374" i="1"/>
  <c r="J1374" i="1"/>
  <c r="A1373" i="1"/>
  <c r="C1373" i="1"/>
  <c r="D1373" i="1"/>
  <c r="E1373" i="1"/>
  <c r="F1373" i="1"/>
  <c r="G1373" i="1"/>
  <c r="J1373" i="1"/>
  <c r="A1372" i="1"/>
  <c r="C1372" i="1"/>
  <c r="D1372" i="1"/>
  <c r="F1372" i="1"/>
  <c r="G1372" i="1"/>
  <c r="J1372" i="1"/>
  <c r="A1370" i="1"/>
  <c r="C1370" i="1"/>
  <c r="D1370" i="1"/>
  <c r="F1370" i="1"/>
  <c r="G1370" i="1"/>
  <c r="J1370" i="1"/>
  <c r="A1371" i="1"/>
  <c r="D1371" i="1"/>
  <c r="F1371" i="1"/>
  <c r="G1371" i="1"/>
  <c r="J1371" i="1"/>
  <c r="A1368" i="1"/>
  <c r="C1368" i="1"/>
  <c r="D1368" i="1"/>
  <c r="F1368" i="1"/>
  <c r="G1368" i="1"/>
  <c r="J1368" i="1"/>
  <c r="A1369" i="1"/>
  <c r="C1369" i="1"/>
  <c r="D1369" i="1"/>
  <c r="F1369" i="1"/>
  <c r="G1369" i="1"/>
  <c r="J1369" i="1"/>
  <c r="A1367" i="1"/>
  <c r="C1367" i="1"/>
  <c r="D1367" i="1"/>
  <c r="F1367" i="1"/>
  <c r="G1367" i="1"/>
  <c r="J1367" i="1"/>
  <c r="A1366" i="1"/>
  <c r="C1366" i="1"/>
  <c r="D1366" i="1"/>
  <c r="F1366" i="1"/>
  <c r="G1366" i="1"/>
  <c r="J1366" i="1"/>
  <c r="L1366" i="1"/>
  <c r="A1365" i="1"/>
  <c r="C1365" i="1"/>
  <c r="D1365" i="1"/>
  <c r="F1365" i="1"/>
  <c r="G1365" i="1"/>
  <c r="J1365" i="1"/>
  <c r="A1364" i="1"/>
  <c r="C1364" i="1"/>
  <c r="D1364" i="1"/>
  <c r="F1364" i="1"/>
  <c r="G1364" i="1"/>
  <c r="J1364" i="1"/>
  <c r="L1364" i="1"/>
  <c r="A1363" i="1"/>
  <c r="C1363" i="1"/>
  <c r="D1363" i="1"/>
  <c r="F1363" i="1"/>
  <c r="G1363" i="1"/>
  <c r="J1363" i="1"/>
  <c r="A1362" i="1"/>
  <c r="C1362" i="1"/>
  <c r="D1362" i="1"/>
  <c r="E1362" i="1"/>
  <c r="F1362" i="1"/>
  <c r="G1362" i="1"/>
  <c r="J1362" i="1"/>
  <c r="A1361" i="1"/>
  <c r="C1361" i="1"/>
  <c r="D1361" i="1"/>
  <c r="E1361" i="1"/>
  <c r="F1361" i="1"/>
  <c r="G1361" i="1"/>
  <c r="J1361" i="1"/>
  <c r="A1360" i="1"/>
  <c r="C1360" i="1"/>
  <c r="D1360" i="1"/>
  <c r="F1360" i="1"/>
  <c r="G1360" i="1"/>
  <c r="J1360" i="1"/>
  <c r="A1359" i="1"/>
  <c r="C1359" i="1"/>
  <c r="D1359" i="1"/>
  <c r="E1359" i="1"/>
  <c r="F1359" i="1"/>
  <c r="G1359" i="1"/>
  <c r="J1359" i="1"/>
  <c r="A1358" i="1"/>
  <c r="C1358" i="1"/>
  <c r="D1358" i="1"/>
  <c r="F1358" i="1"/>
  <c r="G1358" i="1"/>
  <c r="J1358" i="1"/>
  <c r="A1357" i="1"/>
  <c r="C1357" i="1"/>
  <c r="D1357" i="1"/>
  <c r="F1357" i="1"/>
  <c r="G1357" i="1"/>
  <c r="J1357" i="1"/>
  <c r="A1356" i="1"/>
  <c r="C1356" i="1"/>
  <c r="D1356" i="1"/>
  <c r="F1356" i="1"/>
  <c r="G1356" i="1"/>
  <c r="J1356" i="1"/>
  <c r="A1355" i="1"/>
  <c r="C1355" i="1"/>
  <c r="D1355" i="1"/>
  <c r="F1355" i="1"/>
  <c r="G1355" i="1"/>
  <c r="J1355" i="1"/>
  <c r="A1354" i="1"/>
  <c r="C1354" i="1"/>
  <c r="D1354" i="1"/>
  <c r="F1354" i="1"/>
  <c r="G1354" i="1"/>
  <c r="J1354" i="1"/>
  <c r="A1353" i="1"/>
  <c r="C1353" i="1"/>
  <c r="D1353" i="1"/>
  <c r="F1353" i="1"/>
  <c r="G1353" i="1"/>
  <c r="J1353" i="1"/>
  <c r="A1352" i="1"/>
  <c r="C1352" i="1"/>
  <c r="D1352" i="1"/>
  <c r="F1352" i="1"/>
  <c r="G1352" i="1"/>
  <c r="J1352" i="1"/>
  <c r="A1351" i="1"/>
  <c r="C1351" i="1"/>
  <c r="D1351" i="1"/>
  <c r="F1351" i="1"/>
  <c r="G1351" i="1"/>
  <c r="J1351" i="1"/>
  <c r="A1350" i="1"/>
  <c r="C1350" i="1"/>
  <c r="D1350" i="1"/>
  <c r="E1350" i="1"/>
  <c r="F1350" i="1"/>
  <c r="G1350" i="1"/>
  <c r="J1350" i="1"/>
  <c r="A1349" i="1"/>
  <c r="C1349" i="1"/>
  <c r="D1349" i="1"/>
  <c r="F1349" i="1"/>
  <c r="G1349" i="1"/>
  <c r="J1349" i="1"/>
  <c r="A1348" i="1"/>
  <c r="D1348" i="1"/>
  <c r="F1348" i="1"/>
  <c r="G1348" i="1"/>
  <c r="J1348" i="1"/>
  <c r="A1347" i="1"/>
  <c r="C1347" i="1"/>
  <c r="D1347" i="1"/>
  <c r="F1347" i="1"/>
  <c r="G1347" i="1"/>
  <c r="J1347" i="1"/>
  <c r="A1346" i="1"/>
  <c r="C1346" i="1"/>
  <c r="D1346" i="1"/>
  <c r="F1346" i="1"/>
  <c r="G1346" i="1"/>
  <c r="J1346" i="1"/>
  <c r="A1345" i="1"/>
  <c r="C1345" i="1"/>
  <c r="D1345" i="1"/>
  <c r="F1345" i="1"/>
  <c r="G1345" i="1"/>
  <c r="J1345" i="1"/>
  <c r="A1344" i="1"/>
  <c r="C1344" i="1"/>
  <c r="D1344" i="1"/>
  <c r="E1344" i="1"/>
  <c r="F1344" i="1"/>
  <c r="G1344" i="1"/>
  <c r="J1344" i="1"/>
  <c r="A1343" i="1"/>
  <c r="D1343" i="1"/>
  <c r="F1343" i="1"/>
  <c r="G1343" i="1"/>
  <c r="J1343" i="1"/>
  <c r="A1342" i="1"/>
  <c r="D1342" i="1"/>
  <c r="F1342" i="1"/>
  <c r="G1342" i="1"/>
  <c r="J1342" i="1"/>
  <c r="A1341" i="1"/>
  <c r="C1341" i="1"/>
  <c r="D1341" i="1"/>
  <c r="E1341" i="1"/>
  <c r="F1341" i="1"/>
  <c r="G1341" i="1"/>
  <c r="J1341" i="1"/>
  <c r="A1340" i="1"/>
  <c r="C1340" i="1"/>
  <c r="D1340" i="1"/>
  <c r="F1340" i="1"/>
  <c r="G1340" i="1"/>
  <c r="J1340" i="1"/>
  <c r="A1339" i="1"/>
  <c r="C1339" i="1"/>
  <c r="D1339" i="1"/>
  <c r="F1339" i="1"/>
  <c r="G1339" i="1"/>
  <c r="J1339" i="1"/>
  <c r="A1338" i="1"/>
  <c r="C1338" i="1"/>
  <c r="D1338" i="1"/>
  <c r="F1338" i="1"/>
  <c r="G1338" i="1"/>
  <c r="J1338" i="1"/>
  <c r="A1337" i="1"/>
  <c r="D1337" i="1"/>
  <c r="F1337" i="1"/>
  <c r="G1337" i="1"/>
  <c r="H1337" i="1"/>
  <c r="J1337" i="1"/>
  <c r="A1336" i="1"/>
  <c r="C1336" i="1"/>
  <c r="D1336" i="1"/>
  <c r="E1336" i="1"/>
  <c r="F1336" i="1"/>
  <c r="G1336" i="1"/>
  <c r="J1336" i="1"/>
  <c r="A1335" i="1"/>
  <c r="E1335" i="1"/>
  <c r="F1335" i="1"/>
  <c r="G1335" i="1"/>
  <c r="J1335" i="1"/>
  <c r="A1334" i="1"/>
  <c r="D1334" i="1"/>
  <c r="F1334" i="1"/>
  <c r="G1334" i="1"/>
  <c r="J1334" i="1"/>
  <c r="A1333" i="1"/>
  <c r="C1333" i="1"/>
  <c r="D1333" i="1"/>
  <c r="F1333" i="1"/>
  <c r="G1333" i="1"/>
  <c r="J1333" i="1"/>
  <c r="A1332" i="1"/>
  <c r="C1332" i="1"/>
  <c r="D1332" i="1"/>
  <c r="F1332" i="1"/>
  <c r="G1332" i="1"/>
  <c r="J1332" i="1"/>
  <c r="A1331" i="1"/>
  <c r="C1331" i="1"/>
  <c r="D1331" i="1"/>
  <c r="F1331" i="1"/>
  <c r="G1331" i="1"/>
  <c r="J1331" i="1"/>
  <c r="A1330" i="1"/>
  <c r="C1330" i="1"/>
  <c r="D1330" i="1"/>
  <c r="E1330" i="1"/>
  <c r="F1330" i="1"/>
  <c r="G1330" i="1"/>
  <c r="J1330" i="1"/>
  <c r="A1329" i="1"/>
  <c r="C1329" i="1"/>
  <c r="D1329" i="1"/>
  <c r="F1329" i="1"/>
  <c r="G1329" i="1"/>
  <c r="J1329" i="1"/>
  <c r="A1328" i="1"/>
  <c r="C1328" i="1"/>
  <c r="D1328" i="1"/>
  <c r="F1328" i="1"/>
  <c r="G1328" i="1"/>
  <c r="J1328" i="1"/>
  <c r="A1327" i="1"/>
  <c r="C1327" i="1"/>
  <c r="D1327" i="1"/>
  <c r="F1327" i="1"/>
  <c r="G1327" i="1"/>
  <c r="J1327" i="1"/>
  <c r="A1326" i="1"/>
  <c r="C1326" i="1"/>
  <c r="D1326" i="1"/>
  <c r="F1326" i="1"/>
  <c r="G1326" i="1"/>
  <c r="J1326" i="1"/>
  <c r="A1325" i="1"/>
  <c r="C1325" i="1"/>
  <c r="D1325" i="1"/>
  <c r="F1325" i="1"/>
  <c r="G1325" i="1"/>
  <c r="J1325" i="1"/>
  <c r="A1324" i="1"/>
  <c r="C1324" i="1"/>
  <c r="D1324" i="1"/>
  <c r="E1324" i="1"/>
  <c r="F1324" i="1"/>
  <c r="G1324" i="1"/>
  <c r="J1324" i="1"/>
  <c r="A1323" i="1"/>
  <c r="C1323" i="1"/>
  <c r="D1323" i="1"/>
  <c r="F1323" i="1"/>
  <c r="G1323" i="1"/>
  <c r="J1323" i="1"/>
  <c r="A1322" i="1"/>
  <c r="C1322" i="1"/>
  <c r="D1322" i="1"/>
  <c r="E1322" i="1"/>
  <c r="F1322" i="1"/>
  <c r="G1322" i="1"/>
  <c r="J1322" i="1"/>
  <c r="A1321" i="1"/>
  <c r="C1321" i="1"/>
  <c r="D1321" i="1"/>
  <c r="F1321" i="1"/>
  <c r="G1321" i="1"/>
  <c r="J1321" i="1"/>
  <c r="A1320" i="1"/>
  <c r="C1320" i="1"/>
  <c r="D1320" i="1"/>
  <c r="F1320" i="1"/>
  <c r="G1320" i="1"/>
  <c r="J1320" i="1"/>
  <c r="A1319" i="1"/>
  <c r="C1319" i="1"/>
  <c r="D1319" i="1"/>
  <c r="F1319" i="1"/>
  <c r="G1319" i="1"/>
  <c r="J1319" i="1"/>
  <c r="L1319" i="1"/>
  <c r="A1318" i="1"/>
  <c r="C1318" i="1"/>
  <c r="D1318" i="1"/>
  <c r="F1318" i="1"/>
  <c r="G1318" i="1"/>
  <c r="J1318" i="1"/>
  <c r="L1318" i="1"/>
  <c r="A1317" i="1"/>
  <c r="C1317" i="1"/>
  <c r="D1317" i="1"/>
  <c r="F1317" i="1"/>
  <c r="G1317" i="1"/>
  <c r="J1317" i="1"/>
  <c r="A1316" i="1"/>
  <c r="C1316" i="1"/>
  <c r="D1316" i="1"/>
  <c r="F1316" i="1"/>
  <c r="G1316" i="1"/>
  <c r="J1316" i="1"/>
  <c r="L1316" i="1"/>
  <c r="A1315" i="1"/>
  <c r="D1315" i="1"/>
  <c r="F1315" i="1"/>
  <c r="G1315" i="1"/>
  <c r="J1315" i="1"/>
  <c r="A1314" i="1"/>
  <c r="C1314" i="1"/>
  <c r="D1314" i="1"/>
  <c r="F1314" i="1"/>
  <c r="G1314" i="1"/>
  <c r="J1314" i="1"/>
  <c r="L1314" i="1"/>
  <c r="A1313" i="1"/>
  <c r="C1313" i="1"/>
  <c r="D1313" i="1"/>
  <c r="F1313" i="1"/>
  <c r="G1313" i="1"/>
  <c r="J1313" i="1"/>
  <c r="L1313" i="1"/>
  <c r="A1312" i="1"/>
  <c r="D1312" i="1"/>
  <c r="F1312" i="1"/>
  <c r="G1312" i="1"/>
  <c r="J1312" i="1"/>
  <c r="A1311" i="1"/>
  <c r="D1311" i="1"/>
  <c r="F1311" i="1"/>
  <c r="G1311" i="1"/>
  <c r="J1311" i="1"/>
  <c r="A1310" i="1"/>
  <c r="D1310" i="1"/>
  <c r="F1310" i="1"/>
  <c r="G1310" i="1"/>
  <c r="J1310" i="1"/>
  <c r="A1309" i="1"/>
  <c r="C1309" i="1"/>
  <c r="D1309" i="1"/>
  <c r="E1309" i="1"/>
  <c r="F1309" i="1"/>
  <c r="G1309" i="1"/>
  <c r="J1309" i="1"/>
  <c r="A1308" i="1"/>
  <c r="C1308" i="1"/>
  <c r="D1308" i="1"/>
  <c r="E1308" i="1"/>
  <c r="F1308" i="1"/>
  <c r="G1308" i="1"/>
  <c r="J1308" i="1"/>
  <c r="A1307" i="1"/>
  <c r="D1307" i="1"/>
  <c r="E1307" i="1"/>
  <c r="F1307" i="1"/>
  <c r="G1307" i="1"/>
  <c r="J1307" i="1"/>
  <c r="A1306" i="1"/>
  <c r="C1306" i="1"/>
  <c r="D1306" i="1"/>
  <c r="F1306" i="1"/>
  <c r="G1306" i="1"/>
  <c r="J1306" i="1"/>
  <c r="A1305" i="1"/>
  <c r="C1305" i="1"/>
  <c r="D1305" i="1"/>
  <c r="F1305" i="1"/>
  <c r="G1305" i="1"/>
  <c r="J1305" i="1"/>
  <c r="A1304" i="1"/>
  <c r="D1304" i="1"/>
  <c r="F1304" i="1"/>
  <c r="G1304" i="1"/>
  <c r="J1304" i="1"/>
  <c r="A1303" i="1"/>
  <c r="C1303" i="1"/>
  <c r="D1303" i="1"/>
  <c r="E1303" i="1"/>
  <c r="F1303" i="1"/>
  <c r="G1303" i="1"/>
  <c r="J1303" i="1"/>
  <c r="A1301" i="1"/>
  <c r="C1301" i="1"/>
  <c r="D1301" i="1"/>
  <c r="F1301" i="1"/>
  <c r="G1301" i="1"/>
  <c r="J1301" i="1"/>
  <c r="A1302" i="1"/>
  <c r="C1302" i="1"/>
  <c r="D1302" i="1"/>
  <c r="F1302" i="1"/>
  <c r="G1302" i="1"/>
  <c r="J1302" i="1"/>
  <c r="A1300" i="1"/>
  <c r="C1300" i="1"/>
  <c r="D1300" i="1"/>
  <c r="F1300" i="1"/>
  <c r="G1300" i="1"/>
  <c r="J1300" i="1"/>
  <c r="A1299" i="1"/>
  <c r="D1299" i="1"/>
  <c r="F1299" i="1"/>
  <c r="G1299" i="1"/>
  <c r="J1299" i="1"/>
  <c r="A1298" i="1"/>
  <c r="C1298" i="1"/>
  <c r="D1298" i="1"/>
  <c r="F1298" i="1"/>
  <c r="G1298" i="1"/>
  <c r="J1298" i="1"/>
  <c r="A1297" i="1"/>
  <c r="C1297" i="1"/>
  <c r="D1297" i="1"/>
  <c r="F1297" i="1"/>
  <c r="G1297" i="1"/>
  <c r="J1297" i="1"/>
  <c r="A1296" i="1"/>
  <c r="C1296" i="1"/>
  <c r="D1296" i="1"/>
  <c r="F1296" i="1"/>
  <c r="G1296" i="1"/>
  <c r="J1296" i="1"/>
  <c r="A1295" i="1"/>
  <c r="C1295" i="1"/>
  <c r="D1295" i="1"/>
  <c r="F1295" i="1"/>
  <c r="G1295" i="1"/>
  <c r="J1295" i="1"/>
  <c r="A1294" i="1"/>
  <c r="C1294" i="1"/>
  <c r="D1294" i="1"/>
  <c r="E1294" i="1"/>
  <c r="F1294" i="1"/>
  <c r="G1294" i="1"/>
  <c r="J1294" i="1"/>
  <c r="A1293" i="1"/>
  <c r="C1293" i="1"/>
  <c r="D1293" i="1"/>
  <c r="E1293" i="1"/>
  <c r="F1293" i="1"/>
  <c r="G1293" i="1"/>
  <c r="J1293" i="1"/>
  <c r="A1292" i="1"/>
  <c r="C1292" i="1"/>
  <c r="D1292" i="1"/>
  <c r="F1292" i="1"/>
  <c r="G1292" i="1"/>
  <c r="J1292" i="1"/>
  <c r="A1291" i="1"/>
  <c r="C1291" i="1"/>
  <c r="D1291" i="1"/>
  <c r="F1291" i="1"/>
  <c r="G1291" i="1"/>
  <c r="J1291" i="1"/>
  <c r="A1290" i="1"/>
  <c r="C1290" i="1"/>
  <c r="D1290" i="1"/>
  <c r="F1290" i="1"/>
  <c r="G1290" i="1"/>
  <c r="J1290" i="1"/>
  <c r="A1289" i="1"/>
  <c r="C1289" i="1"/>
  <c r="D1289" i="1"/>
  <c r="F1289" i="1"/>
  <c r="G1289" i="1"/>
  <c r="J1289" i="1"/>
  <c r="A1288" i="1"/>
  <c r="D1288" i="1"/>
  <c r="F1288" i="1"/>
  <c r="G1288" i="1"/>
  <c r="J1288" i="1"/>
  <c r="A1287" i="1"/>
  <c r="C1287" i="1"/>
  <c r="D1287" i="1"/>
  <c r="E1287" i="1"/>
  <c r="F1287" i="1"/>
  <c r="G1287" i="1"/>
  <c r="J1287" i="1"/>
  <c r="A1286" i="1"/>
  <c r="C1286" i="1"/>
  <c r="D1286" i="1"/>
  <c r="E1286" i="1"/>
  <c r="F1286" i="1"/>
  <c r="G1286" i="1"/>
  <c r="J1286" i="1"/>
  <c r="A1285" i="1"/>
  <c r="C1285" i="1"/>
  <c r="D1285" i="1"/>
  <c r="E1285" i="1"/>
  <c r="F1285" i="1"/>
  <c r="G1285" i="1"/>
  <c r="J1285" i="1"/>
  <c r="A1284" i="1"/>
  <c r="C1284" i="1"/>
  <c r="D1284" i="1"/>
  <c r="F1284" i="1"/>
  <c r="G1284" i="1"/>
  <c r="J1284" i="1"/>
  <c r="A1283" i="1"/>
  <c r="C1283" i="1"/>
  <c r="D1283" i="1"/>
  <c r="F1283" i="1"/>
  <c r="G1283" i="1"/>
  <c r="J1283" i="1"/>
  <c r="A1282" i="1"/>
  <c r="D1282" i="1"/>
  <c r="E1282" i="1"/>
  <c r="F1282" i="1"/>
  <c r="G1282" i="1"/>
  <c r="J1282" i="1"/>
  <c r="A1281" i="1"/>
  <c r="C1281" i="1"/>
  <c r="D1281" i="1"/>
  <c r="E1281" i="1"/>
  <c r="F1281" i="1"/>
  <c r="G1281" i="1"/>
  <c r="J1281" i="1"/>
  <c r="A1280" i="1"/>
  <c r="D1280" i="1"/>
  <c r="E1280" i="1"/>
  <c r="F1280" i="1"/>
  <c r="G1280" i="1"/>
  <c r="J1280" i="1"/>
  <c r="A1279" i="1"/>
  <c r="C1279" i="1"/>
  <c r="D1279" i="1"/>
  <c r="F1279" i="1"/>
  <c r="G1279" i="1"/>
  <c r="J1279" i="1"/>
  <c r="A1278" i="1"/>
  <c r="C1278" i="1"/>
  <c r="D1278" i="1"/>
  <c r="E1278" i="1"/>
  <c r="F1278" i="1"/>
  <c r="G1278" i="1"/>
  <c r="J1278" i="1"/>
  <c r="A1277" i="1"/>
  <c r="C1277" i="1"/>
  <c r="E1277" i="1"/>
  <c r="F1277" i="1"/>
  <c r="G1277" i="1"/>
  <c r="J1277" i="1"/>
  <c r="A1276" i="1"/>
  <c r="C1276" i="1"/>
  <c r="D1276" i="1"/>
  <c r="F1276" i="1"/>
  <c r="G1276" i="1"/>
  <c r="J1276" i="1"/>
  <c r="A1275" i="1"/>
  <c r="C1275" i="1"/>
  <c r="D1275" i="1"/>
  <c r="E1275" i="1"/>
  <c r="F1275" i="1"/>
  <c r="G1275" i="1"/>
  <c r="J1275" i="1"/>
  <c r="A1274" i="1"/>
  <c r="C1274" i="1"/>
  <c r="D1274" i="1"/>
  <c r="F1274" i="1"/>
  <c r="G1274" i="1"/>
  <c r="J1274" i="1"/>
  <c r="A1273" i="1"/>
  <c r="C1273" i="1"/>
  <c r="D1273" i="1"/>
  <c r="F1273" i="1"/>
  <c r="G1273" i="1"/>
  <c r="J1273" i="1"/>
  <c r="A1270" i="1"/>
  <c r="C1270" i="1"/>
  <c r="D1270" i="1"/>
  <c r="F1270" i="1"/>
  <c r="G1270" i="1"/>
  <c r="J1270" i="1"/>
  <c r="A1272" i="1"/>
  <c r="C1272" i="1"/>
  <c r="D1272" i="1"/>
  <c r="F1272" i="1"/>
  <c r="G1272" i="1"/>
  <c r="J1272" i="1"/>
  <c r="A1271" i="1"/>
  <c r="C1271" i="1"/>
  <c r="D1271" i="1"/>
  <c r="F1271" i="1"/>
  <c r="G1271" i="1"/>
  <c r="J1271" i="1"/>
  <c r="A1269" i="1"/>
  <c r="C1269" i="1"/>
  <c r="D1269" i="1"/>
  <c r="F1269" i="1"/>
  <c r="G1269" i="1"/>
  <c r="J1269" i="1"/>
  <c r="A1268" i="1"/>
  <c r="C1268" i="1"/>
  <c r="D1268" i="1"/>
  <c r="F1268" i="1"/>
  <c r="G1268" i="1"/>
  <c r="J1268" i="1"/>
  <c r="A1267" i="1"/>
  <c r="C1267" i="1"/>
  <c r="D1267" i="1"/>
  <c r="F1267" i="1"/>
  <c r="G1267" i="1"/>
  <c r="J1267" i="1"/>
  <c r="A1265" i="1"/>
  <c r="C1265" i="1"/>
  <c r="D1265" i="1"/>
  <c r="F1265" i="1"/>
  <c r="G1265" i="1"/>
  <c r="J1265" i="1"/>
  <c r="A1266" i="1"/>
  <c r="C1266" i="1"/>
  <c r="D1266" i="1"/>
  <c r="F1266" i="1"/>
  <c r="G1266" i="1"/>
  <c r="J1266" i="1"/>
  <c r="A1264" i="1"/>
  <c r="C1264" i="1"/>
  <c r="D1264" i="1"/>
  <c r="F1264" i="1"/>
  <c r="G1264" i="1"/>
  <c r="J1264" i="1"/>
  <c r="A1263" i="1"/>
  <c r="C1263" i="1"/>
  <c r="D1263" i="1"/>
  <c r="F1263" i="1"/>
  <c r="G1263" i="1"/>
  <c r="J1263" i="1"/>
  <c r="A1262" i="1"/>
  <c r="C1262" i="1"/>
  <c r="D1262" i="1"/>
  <c r="F1262" i="1"/>
  <c r="G1262" i="1"/>
  <c r="H1262" i="1"/>
  <c r="J1262" i="1"/>
  <c r="A1261" i="1"/>
  <c r="C1261" i="1"/>
  <c r="D1261" i="1"/>
  <c r="F1261" i="1"/>
  <c r="G1261" i="1"/>
  <c r="J1261" i="1"/>
  <c r="L1261" i="1"/>
  <c r="A1260" i="1"/>
  <c r="C1260" i="1"/>
  <c r="D1260" i="1"/>
  <c r="F1260" i="1"/>
  <c r="G1260" i="1"/>
  <c r="J1260" i="1"/>
  <c r="L1260" i="1"/>
  <c r="A1259" i="1"/>
  <c r="C1259" i="1"/>
  <c r="D1259" i="1"/>
  <c r="F1259" i="1"/>
  <c r="G1259" i="1"/>
  <c r="J1259" i="1"/>
  <c r="L1259" i="1"/>
  <c r="A1258" i="1"/>
  <c r="C1258" i="1"/>
  <c r="D1258" i="1"/>
  <c r="F1258" i="1"/>
  <c r="G1258" i="1"/>
  <c r="J1258" i="1"/>
  <c r="A1257" i="1"/>
  <c r="C1257" i="1"/>
  <c r="D1257" i="1"/>
  <c r="F1257" i="1"/>
  <c r="G1257" i="1"/>
  <c r="J1257" i="1"/>
  <c r="A1256" i="1"/>
  <c r="C1256" i="1"/>
  <c r="D1256" i="1"/>
  <c r="F1256" i="1"/>
  <c r="G1256" i="1"/>
  <c r="J1256" i="1"/>
  <c r="A1255" i="1"/>
  <c r="C1255" i="1"/>
  <c r="D1255" i="1"/>
  <c r="F1255" i="1"/>
  <c r="G1255" i="1"/>
  <c r="J1255" i="1"/>
  <c r="L1255" i="1"/>
  <c r="A1254" i="1"/>
  <c r="C1254" i="1"/>
  <c r="D1254" i="1"/>
  <c r="F1254" i="1"/>
  <c r="G1254" i="1"/>
  <c r="J1254" i="1"/>
  <c r="L1254" i="1"/>
  <c r="A1253" i="1"/>
  <c r="D1253" i="1"/>
  <c r="F1253" i="1"/>
  <c r="G1253" i="1"/>
  <c r="H1253" i="1"/>
  <c r="J1253" i="1"/>
  <c r="A1252" i="1"/>
  <c r="D1252" i="1"/>
  <c r="F1252" i="1"/>
  <c r="G1252" i="1"/>
  <c r="H1252" i="1"/>
  <c r="J1252" i="1"/>
  <c r="A1251" i="1"/>
  <c r="D1251" i="1"/>
  <c r="F1251" i="1"/>
  <c r="G1251" i="1"/>
  <c r="H1251" i="1"/>
  <c r="J1251" i="1"/>
  <c r="A1250" i="1"/>
  <c r="C1250" i="1"/>
  <c r="D1250" i="1"/>
  <c r="E1250" i="1"/>
  <c r="F1250" i="1"/>
  <c r="G1250" i="1"/>
  <c r="J1250" i="1"/>
  <c r="A1249" i="1"/>
  <c r="C1249" i="1"/>
  <c r="D1249" i="1"/>
  <c r="F1249" i="1"/>
  <c r="G1249" i="1"/>
  <c r="J1249" i="1"/>
  <c r="A1248" i="1"/>
  <c r="C1248" i="1"/>
  <c r="D1248" i="1"/>
  <c r="F1248" i="1"/>
  <c r="G1248" i="1"/>
  <c r="J1248" i="1"/>
  <c r="A1247" i="1"/>
  <c r="C1247" i="1"/>
  <c r="D1247" i="1"/>
  <c r="F1247" i="1"/>
  <c r="G1247" i="1"/>
  <c r="J1247" i="1"/>
  <c r="A1246" i="1"/>
  <c r="C1246" i="1"/>
  <c r="D1246" i="1"/>
  <c r="F1246" i="1"/>
  <c r="G1246" i="1"/>
  <c r="J1246" i="1"/>
  <c r="A1245" i="1"/>
  <c r="C1245" i="1"/>
  <c r="D1245" i="1"/>
  <c r="F1245" i="1"/>
  <c r="G1245" i="1"/>
  <c r="J1245" i="1"/>
  <c r="A1244" i="1"/>
  <c r="C1244" i="1"/>
  <c r="D1244" i="1"/>
  <c r="F1244" i="1"/>
  <c r="G1244" i="1"/>
  <c r="J1244" i="1"/>
  <c r="A1243" i="1"/>
  <c r="C1243" i="1"/>
  <c r="D1243" i="1"/>
  <c r="F1243" i="1"/>
  <c r="G1243" i="1"/>
  <c r="J1243" i="1"/>
  <c r="A1242" i="1"/>
  <c r="D1242" i="1"/>
  <c r="F1242" i="1"/>
  <c r="G1242" i="1"/>
  <c r="J1242" i="1"/>
  <c r="A1241" i="1"/>
  <c r="C1241" i="1"/>
  <c r="D1241" i="1"/>
  <c r="E1241" i="1"/>
  <c r="F1241" i="1"/>
  <c r="G1241" i="1"/>
  <c r="J1241" i="1"/>
  <c r="A1240" i="1"/>
  <c r="D1240" i="1"/>
  <c r="F1240" i="1"/>
  <c r="G1240" i="1"/>
  <c r="J1240" i="1"/>
  <c r="A1239" i="1"/>
  <c r="C1239" i="1"/>
  <c r="D1239" i="1"/>
  <c r="F1239" i="1"/>
  <c r="G1239" i="1"/>
  <c r="J1239" i="1"/>
  <c r="A1238" i="1"/>
  <c r="C1238" i="1"/>
  <c r="D1238" i="1"/>
  <c r="F1238" i="1"/>
  <c r="G1238" i="1"/>
  <c r="J1238" i="1"/>
  <c r="A1237" i="1"/>
  <c r="C1237" i="1"/>
  <c r="D1237" i="1"/>
  <c r="F1237" i="1"/>
  <c r="G1237" i="1"/>
  <c r="J1237" i="1"/>
  <c r="A1236" i="1"/>
  <c r="D1236" i="1"/>
  <c r="F1236" i="1"/>
  <c r="G1236" i="1"/>
  <c r="J1236" i="1"/>
  <c r="A1235" i="1"/>
  <c r="C1235" i="1"/>
  <c r="D1235" i="1"/>
  <c r="F1235" i="1"/>
  <c r="G1235" i="1"/>
  <c r="J1235" i="1"/>
  <c r="A1234" i="1"/>
  <c r="C1234" i="1"/>
  <c r="D1234" i="1"/>
  <c r="E1234" i="1"/>
  <c r="F1234" i="1"/>
  <c r="G1234" i="1"/>
  <c r="J1234" i="1"/>
  <c r="A1233" i="1"/>
  <c r="C1233" i="1"/>
  <c r="D1233" i="1"/>
  <c r="F1233" i="1"/>
  <c r="G1233" i="1"/>
  <c r="J1233" i="1"/>
  <c r="A1232" i="1"/>
  <c r="C1232" i="1"/>
  <c r="D1232" i="1"/>
  <c r="E1232" i="1"/>
  <c r="F1232" i="1"/>
  <c r="G1232" i="1"/>
  <c r="J1232" i="1"/>
  <c r="A1231" i="1"/>
  <c r="C1231" i="1"/>
  <c r="D1231" i="1"/>
  <c r="F1231" i="1"/>
  <c r="G1231" i="1"/>
  <c r="J1231" i="1"/>
  <c r="A1230" i="1"/>
  <c r="D1230" i="1"/>
  <c r="F1230" i="1"/>
  <c r="G1230" i="1"/>
  <c r="J1230" i="1"/>
  <c r="A1229" i="1"/>
  <c r="C1229" i="1"/>
  <c r="D1229" i="1"/>
  <c r="F1229" i="1"/>
  <c r="G1229" i="1"/>
  <c r="J1229" i="1"/>
  <c r="A1228" i="1"/>
  <c r="C1228" i="1"/>
  <c r="D1228" i="1"/>
  <c r="F1228" i="1"/>
  <c r="G1228" i="1"/>
  <c r="J1228" i="1"/>
  <c r="A1227" i="1"/>
  <c r="C1227" i="1"/>
  <c r="D1227" i="1"/>
  <c r="F1227" i="1"/>
  <c r="G1227" i="1"/>
  <c r="J1227" i="1"/>
  <c r="A1226" i="1"/>
  <c r="C1226" i="1"/>
  <c r="D1226" i="1"/>
  <c r="E1226" i="1"/>
  <c r="F1226" i="1"/>
  <c r="G1226" i="1"/>
  <c r="J1226" i="1"/>
  <c r="A1225" i="1"/>
  <c r="C1225" i="1"/>
  <c r="D1225" i="1"/>
  <c r="F1225" i="1"/>
  <c r="G1225" i="1"/>
  <c r="J1225" i="1"/>
  <c r="A1224" i="1"/>
  <c r="D1224" i="1"/>
  <c r="F1224" i="1"/>
  <c r="G1224" i="1"/>
  <c r="H1224" i="1"/>
  <c r="J1224" i="1"/>
  <c r="A1223" i="1"/>
  <c r="C1223" i="1"/>
  <c r="D1223" i="1"/>
  <c r="F1223" i="1"/>
  <c r="G1223" i="1"/>
  <c r="J1223" i="1"/>
  <c r="A1222" i="1"/>
  <c r="C1222" i="1"/>
  <c r="D1222" i="1"/>
  <c r="F1222" i="1"/>
  <c r="G1222" i="1"/>
  <c r="J1222" i="1"/>
  <c r="A1221" i="1"/>
  <c r="C1221" i="1"/>
  <c r="D1221" i="1"/>
  <c r="F1221" i="1"/>
  <c r="G1221" i="1"/>
  <c r="J1221" i="1"/>
  <c r="A1220" i="1"/>
  <c r="C1220" i="1"/>
  <c r="D1220" i="1"/>
  <c r="E1220" i="1"/>
  <c r="F1220" i="1"/>
  <c r="G1220" i="1"/>
  <c r="J1220" i="1"/>
  <c r="A1219" i="1"/>
  <c r="C1219" i="1"/>
  <c r="D1219" i="1"/>
  <c r="F1219" i="1"/>
  <c r="G1219" i="1"/>
  <c r="J1219" i="1"/>
  <c r="A1218" i="1"/>
  <c r="C1218" i="1"/>
  <c r="D1218" i="1"/>
  <c r="F1218" i="1"/>
  <c r="G1218" i="1"/>
  <c r="J1218" i="1"/>
  <c r="A1217" i="1"/>
  <c r="E1217" i="1"/>
  <c r="F1217" i="1"/>
  <c r="G1217" i="1"/>
  <c r="J1217" i="1"/>
  <c r="A1216" i="1"/>
  <c r="C1216" i="1"/>
  <c r="D1216" i="1"/>
  <c r="F1216" i="1"/>
  <c r="G1216" i="1"/>
  <c r="J1216" i="1"/>
  <c r="A1215" i="1"/>
  <c r="C1215" i="1"/>
  <c r="D1215" i="1"/>
  <c r="F1215" i="1"/>
  <c r="G1215" i="1"/>
  <c r="J1215" i="1"/>
  <c r="A1214" i="1"/>
  <c r="C1214" i="1"/>
  <c r="D1214" i="1"/>
  <c r="F1214" i="1"/>
  <c r="G1214" i="1"/>
  <c r="H1214" i="1"/>
  <c r="J1214" i="1"/>
  <c r="A1213" i="1"/>
  <c r="C1213" i="1"/>
  <c r="D1213" i="1"/>
  <c r="F1213" i="1"/>
  <c r="G1213" i="1"/>
  <c r="J1213" i="1"/>
  <c r="A1212" i="1"/>
  <c r="C1212" i="1"/>
  <c r="D1212" i="1"/>
  <c r="F1212" i="1"/>
  <c r="G1212" i="1"/>
  <c r="J1212" i="1"/>
  <c r="A1210" i="1"/>
  <c r="D1210" i="1"/>
  <c r="F1210" i="1"/>
  <c r="G1210" i="1"/>
  <c r="J1210" i="1"/>
  <c r="A1211" i="1"/>
  <c r="C1211" i="1"/>
  <c r="D1211" i="1"/>
  <c r="E1211" i="1"/>
  <c r="F1211" i="1"/>
  <c r="G1211" i="1"/>
  <c r="J1211" i="1"/>
  <c r="A1209" i="1"/>
  <c r="D1209" i="1"/>
  <c r="F1209" i="1"/>
  <c r="G1209" i="1"/>
  <c r="J1209" i="1"/>
  <c r="A1208" i="1"/>
  <c r="C1208" i="1"/>
  <c r="D1208" i="1"/>
  <c r="F1208" i="1"/>
  <c r="G1208" i="1"/>
  <c r="J1208" i="1"/>
  <c r="A1207" i="1"/>
  <c r="C1207" i="1"/>
  <c r="D1207" i="1"/>
  <c r="F1207" i="1"/>
  <c r="G1207" i="1"/>
  <c r="J1207" i="1"/>
  <c r="A1206" i="1"/>
  <c r="C1206" i="1"/>
  <c r="D1206" i="1"/>
  <c r="F1206" i="1"/>
  <c r="G1206" i="1"/>
  <c r="H1206" i="1"/>
  <c r="J1206" i="1"/>
  <c r="A1205" i="1"/>
  <c r="D1205" i="1"/>
  <c r="F1205" i="1"/>
  <c r="G1205" i="1"/>
  <c r="J1205" i="1"/>
  <c r="A1204" i="1"/>
  <c r="C1204" i="1"/>
  <c r="D1204" i="1"/>
  <c r="F1204" i="1"/>
  <c r="G1204" i="1"/>
  <c r="H1204" i="1"/>
  <c r="J1204" i="1"/>
  <c r="A1203" i="1"/>
  <c r="C1203" i="1"/>
  <c r="D1203" i="1"/>
  <c r="E1203" i="1"/>
  <c r="F1203" i="1"/>
  <c r="G1203" i="1"/>
  <c r="J1203" i="1"/>
  <c r="A1202" i="1"/>
  <c r="C1202" i="1"/>
  <c r="D1202" i="1"/>
  <c r="E1202" i="1"/>
  <c r="F1202" i="1"/>
  <c r="G1202" i="1"/>
  <c r="J1202" i="1"/>
  <c r="A1201" i="1"/>
  <c r="C1201" i="1"/>
  <c r="D1201" i="1"/>
  <c r="E1201" i="1"/>
  <c r="F1201" i="1"/>
  <c r="G1201" i="1"/>
  <c r="J1201" i="1"/>
  <c r="A1200" i="1"/>
  <c r="D1200" i="1"/>
  <c r="F1200" i="1"/>
  <c r="G1200" i="1"/>
  <c r="J1200" i="1"/>
  <c r="A1199" i="1"/>
  <c r="D1199" i="1"/>
  <c r="F1199" i="1"/>
  <c r="G1199" i="1"/>
  <c r="J1199" i="1"/>
  <c r="A1198" i="1"/>
  <c r="D1198" i="1"/>
  <c r="F1198" i="1"/>
  <c r="G1198" i="1"/>
  <c r="J1198" i="1"/>
  <c r="A1197" i="1"/>
  <c r="D1197" i="1"/>
  <c r="E1197" i="1"/>
  <c r="F1197" i="1"/>
  <c r="G1197" i="1"/>
  <c r="J1197" i="1"/>
  <c r="A1196" i="1"/>
  <c r="C1196" i="1"/>
  <c r="D1196" i="1"/>
  <c r="F1196" i="1"/>
  <c r="G1196" i="1"/>
  <c r="J1196" i="1"/>
  <c r="A1195" i="1"/>
  <c r="C1195" i="1"/>
  <c r="D1195" i="1"/>
  <c r="F1195" i="1"/>
  <c r="G1195" i="1"/>
  <c r="J1195" i="1"/>
  <c r="A1194" i="1"/>
  <c r="C1194" i="1"/>
  <c r="D1194" i="1"/>
  <c r="E1194" i="1"/>
  <c r="F1194" i="1"/>
  <c r="G1194" i="1"/>
  <c r="J1194" i="1"/>
  <c r="A1193" i="1"/>
  <c r="C1193" i="1"/>
  <c r="D1193" i="1"/>
  <c r="F1193" i="1"/>
  <c r="G1193" i="1"/>
  <c r="J1193" i="1"/>
  <c r="A1192" i="1"/>
  <c r="C1192" i="1"/>
  <c r="D1192" i="1"/>
  <c r="F1192" i="1"/>
  <c r="G1192" i="1"/>
  <c r="J1192" i="1"/>
  <c r="A1191" i="1"/>
  <c r="C1191" i="1"/>
  <c r="D1191" i="1"/>
  <c r="F1191" i="1"/>
  <c r="G1191" i="1"/>
  <c r="J1191" i="1"/>
  <c r="A1190" i="1"/>
  <c r="C1190" i="1"/>
  <c r="D1190" i="1"/>
  <c r="F1190" i="1"/>
  <c r="G1190" i="1"/>
  <c r="J1190" i="1"/>
  <c r="A1189" i="1"/>
  <c r="E1189" i="1"/>
  <c r="F1189" i="1"/>
  <c r="G1189" i="1"/>
  <c r="J1189" i="1"/>
  <c r="A1188" i="1"/>
  <c r="D1188" i="1"/>
  <c r="E1188" i="1"/>
  <c r="F1188" i="1"/>
  <c r="G1188" i="1"/>
  <c r="H1188" i="1"/>
  <c r="I1188" i="1"/>
  <c r="J1188" i="1"/>
  <c r="A1187" i="1"/>
  <c r="C1187" i="1"/>
  <c r="D1187" i="1"/>
  <c r="F1187" i="1"/>
  <c r="G1187" i="1"/>
  <c r="J1187" i="1"/>
  <c r="A1186" i="1"/>
  <c r="D1186" i="1"/>
  <c r="E1186" i="1"/>
  <c r="F1186" i="1"/>
  <c r="G1186" i="1"/>
  <c r="H1186" i="1"/>
  <c r="I1186" i="1"/>
  <c r="J1186" i="1"/>
  <c r="A1185" i="1"/>
  <c r="D1185" i="1"/>
  <c r="F1185" i="1"/>
  <c r="G1185" i="1"/>
  <c r="J1185" i="1"/>
  <c r="A1184" i="1"/>
  <c r="C1184" i="1"/>
  <c r="D1184" i="1"/>
  <c r="F1184" i="1"/>
  <c r="G1184" i="1"/>
  <c r="J1184" i="1"/>
  <c r="A1183" i="1"/>
  <c r="C1183" i="1"/>
  <c r="D1183" i="1"/>
  <c r="E1183" i="1"/>
  <c r="F1183" i="1"/>
  <c r="G1183" i="1"/>
  <c r="J1183" i="1"/>
  <c r="A1182" i="1"/>
  <c r="E1182" i="1"/>
  <c r="F1182" i="1"/>
  <c r="G1182" i="1"/>
  <c r="J1182" i="1"/>
  <c r="A1181" i="1"/>
  <c r="C1181" i="1"/>
  <c r="D1181" i="1"/>
  <c r="F1181" i="1"/>
  <c r="G1181" i="1"/>
  <c r="J1181" i="1"/>
  <c r="A1180" i="1"/>
  <c r="C1180" i="1"/>
  <c r="D1180" i="1"/>
  <c r="F1180" i="1"/>
  <c r="G1180" i="1"/>
  <c r="J1180" i="1"/>
  <c r="A1179" i="1"/>
  <c r="C1179" i="1"/>
  <c r="D1179" i="1"/>
  <c r="F1179" i="1"/>
  <c r="G1179" i="1"/>
  <c r="J1179" i="1"/>
  <c r="A1178" i="1"/>
  <c r="E1178" i="1"/>
  <c r="F1178" i="1"/>
  <c r="G1178" i="1"/>
  <c r="J1178" i="1"/>
  <c r="A1177" i="1"/>
  <c r="C1177" i="1"/>
  <c r="D1177" i="1"/>
  <c r="F1177" i="1"/>
  <c r="G1177" i="1"/>
  <c r="H1177" i="1"/>
  <c r="I1177" i="1"/>
  <c r="J1177" i="1"/>
  <c r="A1176" i="1"/>
  <c r="C1176" i="1"/>
  <c r="D1176" i="1"/>
  <c r="F1176" i="1"/>
  <c r="G1176" i="1"/>
  <c r="J1176" i="1"/>
  <c r="A1175" i="1"/>
  <c r="C1175" i="1"/>
  <c r="D1175" i="1"/>
  <c r="F1175" i="1"/>
  <c r="G1175" i="1"/>
  <c r="J1175" i="1"/>
  <c r="A1174" i="1"/>
  <c r="C1174" i="1"/>
  <c r="D1174" i="1"/>
  <c r="F1174" i="1"/>
  <c r="G1174" i="1"/>
  <c r="J1174" i="1"/>
  <c r="A1173" i="1"/>
  <c r="C1173" i="1"/>
  <c r="D1173" i="1"/>
  <c r="F1173" i="1"/>
  <c r="G1173" i="1"/>
  <c r="J1173" i="1"/>
  <c r="A1172" i="1"/>
  <c r="C1172" i="1"/>
  <c r="D1172" i="1"/>
  <c r="F1172" i="1"/>
  <c r="G1172" i="1"/>
  <c r="J1172" i="1"/>
  <c r="A1171" i="1"/>
  <c r="C1171" i="1"/>
  <c r="D1171" i="1"/>
  <c r="F1171" i="1"/>
  <c r="G1171" i="1"/>
  <c r="J1171" i="1"/>
  <c r="A1170" i="1"/>
  <c r="C1170" i="1"/>
  <c r="D1170" i="1"/>
  <c r="F1170" i="1"/>
  <c r="G1170" i="1"/>
  <c r="J1170" i="1"/>
  <c r="A1169" i="1"/>
  <c r="C1169" i="1"/>
  <c r="D1169" i="1"/>
  <c r="F1169" i="1"/>
  <c r="G1169" i="1"/>
  <c r="J1169" i="1"/>
  <c r="A1168" i="1"/>
  <c r="C1168" i="1"/>
  <c r="D1168" i="1"/>
  <c r="F1168" i="1"/>
  <c r="G1168" i="1"/>
  <c r="J1168" i="1"/>
  <c r="A1167" i="1"/>
  <c r="C1167" i="1"/>
  <c r="D1167" i="1"/>
  <c r="F1167" i="1"/>
  <c r="G1167" i="1"/>
  <c r="J1167" i="1"/>
  <c r="A1166" i="1"/>
  <c r="C1166" i="1"/>
  <c r="D1166" i="1"/>
  <c r="F1166" i="1"/>
  <c r="G1166" i="1"/>
  <c r="J1166" i="1"/>
  <c r="A1165" i="1"/>
  <c r="D1165" i="1"/>
  <c r="E1165" i="1"/>
  <c r="F1165" i="1"/>
  <c r="G1165" i="1"/>
  <c r="J1165" i="1"/>
  <c r="A1164" i="1"/>
  <c r="D1164" i="1"/>
  <c r="F1164" i="1"/>
  <c r="G1164" i="1"/>
  <c r="J1164" i="1"/>
  <c r="A1163" i="1"/>
  <c r="D1163" i="1"/>
  <c r="F1163" i="1"/>
  <c r="G1163" i="1"/>
  <c r="J1163" i="1"/>
  <c r="A1162" i="1"/>
  <c r="D1162" i="1"/>
  <c r="F1162" i="1"/>
  <c r="G1162" i="1"/>
  <c r="J1162" i="1"/>
  <c r="A1161" i="1"/>
  <c r="D1161" i="1"/>
  <c r="F1161" i="1"/>
  <c r="G1161" i="1"/>
  <c r="J1161" i="1"/>
  <c r="A1160" i="1"/>
  <c r="C1160" i="1"/>
  <c r="D1160" i="1"/>
  <c r="F1160" i="1"/>
  <c r="G1160" i="1"/>
  <c r="J1160" i="1"/>
  <c r="A1159" i="1"/>
  <c r="C1159" i="1"/>
  <c r="D1159" i="1"/>
  <c r="E1159" i="1"/>
  <c r="F1159" i="1"/>
  <c r="G1159" i="1"/>
  <c r="J1159" i="1"/>
  <c r="A1158" i="1"/>
  <c r="C1158" i="1"/>
  <c r="D1158" i="1"/>
  <c r="F1158" i="1"/>
  <c r="G1158" i="1"/>
  <c r="H1158" i="1"/>
  <c r="J1158" i="1"/>
  <c r="A1157" i="1"/>
  <c r="C1157" i="1"/>
  <c r="D1157" i="1"/>
  <c r="F1157" i="1"/>
  <c r="G1157" i="1"/>
  <c r="J1157" i="1"/>
  <c r="A1156" i="1"/>
  <c r="C1156" i="1"/>
  <c r="D1156" i="1"/>
  <c r="F1156" i="1"/>
  <c r="G1156" i="1"/>
  <c r="J1156" i="1"/>
  <c r="A1153" i="1"/>
  <c r="C1153" i="1"/>
  <c r="D1153" i="1"/>
  <c r="F1153" i="1"/>
  <c r="G1153" i="1"/>
  <c r="J1153" i="1"/>
  <c r="A1155" i="1"/>
  <c r="E1155" i="1"/>
  <c r="F1155" i="1"/>
  <c r="G1155" i="1"/>
  <c r="J1155" i="1"/>
  <c r="A1154" i="1"/>
  <c r="C1154" i="1"/>
  <c r="D1154" i="1"/>
  <c r="F1154" i="1"/>
  <c r="G1154" i="1"/>
  <c r="J1154" i="1"/>
  <c r="A1152" i="1"/>
  <c r="C1152" i="1"/>
  <c r="D1152" i="1"/>
  <c r="F1152" i="1"/>
  <c r="G1152" i="1"/>
  <c r="J1152" i="1"/>
  <c r="A1151" i="1"/>
  <c r="C1151" i="1"/>
  <c r="D1151" i="1"/>
  <c r="F1151" i="1"/>
  <c r="G1151" i="1"/>
  <c r="J1151" i="1"/>
  <c r="A1150" i="1"/>
  <c r="C1150" i="1"/>
  <c r="D1150" i="1"/>
  <c r="F1150" i="1"/>
  <c r="G1150" i="1"/>
  <c r="J1150" i="1"/>
  <c r="A1149" i="1"/>
  <c r="E1149" i="1"/>
  <c r="F1149" i="1"/>
  <c r="G1149" i="1"/>
  <c r="J1149" i="1"/>
  <c r="A1147" i="1"/>
  <c r="C1147" i="1"/>
  <c r="D1147" i="1"/>
  <c r="F1147" i="1"/>
  <c r="G1147" i="1"/>
  <c r="J1147" i="1"/>
  <c r="A1148" i="1"/>
  <c r="C1148" i="1"/>
  <c r="F1148" i="1"/>
  <c r="G1148" i="1"/>
  <c r="H1148" i="1"/>
  <c r="I1148" i="1"/>
  <c r="J1148" i="1"/>
  <c r="L1148" i="1"/>
  <c r="A1146" i="1"/>
  <c r="C1146" i="1"/>
  <c r="F1146" i="1"/>
  <c r="G1146" i="1"/>
  <c r="H1146" i="1"/>
  <c r="I1146" i="1"/>
  <c r="J1146" i="1"/>
  <c r="L1146" i="1"/>
  <c r="A1145" i="1"/>
  <c r="C1145" i="1"/>
  <c r="D1145" i="1"/>
  <c r="E1145" i="1"/>
  <c r="F1145" i="1"/>
  <c r="G1145" i="1"/>
  <c r="J1145" i="1"/>
  <c r="A1143" i="1"/>
  <c r="C1143" i="1"/>
  <c r="D1143" i="1"/>
  <c r="F1143" i="1"/>
  <c r="G1143" i="1"/>
  <c r="J1143" i="1"/>
  <c r="A1144" i="1"/>
  <c r="C1144" i="1"/>
  <c r="D1144" i="1"/>
  <c r="E1144" i="1"/>
  <c r="F1144" i="1"/>
  <c r="G1144" i="1"/>
  <c r="J1144" i="1"/>
  <c r="A1142" i="1"/>
  <c r="C1142" i="1"/>
  <c r="D1142" i="1"/>
  <c r="E1142" i="1"/>
  <c r="F1142" i="1"/>
  <c r="G1142" i="1"/>
  <c r="J1142" i="1"/>
  <c r="A1141" i="1"/>
  <c r="C1141" i="1"/>
  <c r="D1141" i="1"/>
  <c r="F1141" i="1"/>
  <c r="G1141" i="1"/>
  <c r="J1141" i="1"/>
  <c r="A1140" i="1"/>
  <c r="C1140" i="1"/>
  <c r="D1140" i="1"/>
  <c r="E1140" i="1"/>
  <c r="F1140" i="1"/>
  <c r="G1140" i="1"/>
  <c r="J1140" i="1"/>
  <c r="A1139" i="1"/>
  <c r="C1139" i="1"/>
  <c r="D1139" i="1"/>
  <c r="F1139" i="1"/>
  <c r="G1139" i="1"/>
  <c r="J1139" i="1"/>
  <c r="A1138" i="1"/>
  <c r="C1138" i="1"/>
  <c r="D1138" i="1"/>
  <c r="F1138" i="1"/>
  <c r="G1138" i="1"/>
  <c r="J1138" i="1"/>
  <c r="A1137" i="1"/>
  <c r="C1137" i="1"/>
  <c r="D1137" i="1"/>
  <c r="E1137" i="1"/>
  <c r="F1137" i="1"/>
  <c r="G1137" i="1"/>
  <c r="J1137" i="1"/>
  <c r="A1136" i="1"/>
  <c r="C1136" i="1"/>
  <c r="D1136" i="1"/>
  <c r="F1136" i="1"/>
  <c r="G1136" i="1"/>
  <c r="J1136" i="1"/>
  <c r="A1135" i="1"/>
  <c r="C1135" i="1"/>
  <c r="D1135" i="1"/>
  <c r="E1135" i="1"/>
  <c r="F1135" i="1"/>
  <c r="G1135" i="1"/>
  <c r="J1135" i="1"/>
  <c r="A1134" i="1"/>
  <c r="C1134" i="1"/>
  <c r="D1134" i="1"/>
  <c r="F1134" i="1"/>
  <c r="G1134" i="1"/>
  <c r="J1134" i="1"/>
  <c r="A1133" i="1"/>
  <c r="C1133" i="1"/>
  <c r="D1133" i="1"/>
  <c r="F1133" i="1"/>
  <c r="G1133" i="1"/>
  <c r="J1133" i="1"/>
  <c r="A1132" i="1"/>
  <c r="D1132" i="1"/>
  <c r="F1132" i="1"/>
  <c r="G1132" i="1"/>
  <c r="J1132" i="1"/>
  <c r="A1131" i="1"/>
  <c r="C1131" i="1"/>
  <c r="D1131" i="1"/>
  <c r="F1131" i="1"/>
  <c r="G1131" i="1"/>
  <c r="J1131" i="1"/>
  <c r="A1130" i="1"/>
  <c r="C1130" i="1"/>
  <c r="D1130" i="1"/>
  <c r="E1130" i="1"/>
  <c r="F1130" i="1"/>
  <c r="G1130" i="1"/>
  <c r="J1130" i="1"/>
  <c r="A1129" i="1"/>
  <c r="D1129" i="1"/>
  <c r="F1129" i="1"/>
  <c r="G1129" i="1"/>
  <c r="J1129" i="1"/>
  <c r="A1128" i="1"/>
  <c r="C1128" i="1"/>
  <c r="D1128" i="1"/>
  <c r="F1128" i="1"/>
  <c r="G1128" i="1"/>
  <c r="J1128" i="1"/>
  <c r="A1127" i="1"/>
  <c r="C1127" i="1"/>
  <c r="D1127" i="1"/>
  <c r="F1127" i="1"/>
  <c r="G1127" i="1"/>
  <c r="J1127" i="1"/>
  <c r="A1126" i="1"/>
  <c r="C1126" i="1"/>
  <c r="D1126" i="1"/>
  <c r="F1126" i="1"/>
  <c r="G1126" i="1"/>
  <c r="J1126" i="1"/>
  <c r="A1125" i="1"/>
  <c r="C1125" i="1"/>
  <c r="D1125" i="1"/>
  <c r="F1125" i="1"/>
  <c r="G1125" i="1"/>
  <c r="J1125" i="1"/>
  <c r="A1124" i="1"/>
  <c r="C1124" i="1"/>
  <c r="D1124" i="1"/>
  <c r="F1124" i="1"/>
  <c r="G1124" i="1"/>
  <c r="J1124" i="1"/>
  <c r="A1123" i="1"/>
  <c r="C1123" i="1"/>
  <c r="D1123" i="1"/>
  <c r="F1123" i="1"/>
  <c r="G1123" i="1"/>
  <c r="J1123" i="1"/>
  <c r="A1122" i="1"/>
  <c r="C1122" i="1"/>
  <c r="D1122" i="1"/>
  <c r="F1122" i="1"/>
  <c r="G1122" i="1"/>
  <c r="J1122" i="1"/>
  <c r="A1121" i="1"/>
  <c r="D1121" i="1"/>
  <c r="F1121" i="1"/>
  <c r="G1121" i="1"/>
  <c r="J1121" i="1"/>
  <c r="A1120" i="1"/>
  <c r="D1120" i="1"/>
  <c r="F1120" i="1"/>
  <c r="G1120" i="1"/>
  <c r="J1120" i="1"/>
  <c r="A1119" i="1"/>
  <c r="D1119" i="1"/>
  <c r="F1119" i="1"/>
  <c r="G1119" i="1"/>
  <c r="J1119" i="1"/>
  <c r="A1118" i="1"/>
  <c r="D1118" i="1"/>
  <c r="E1118" i="1"/>
  <c r="F1118" i="1"/>
  <c r="G1118" i="1"/>
  <c r="J1118" i="1"/>
  <c r="A1117" i="1"/>
  <c r="E1117" i="1"/>
  <c r="F1117" i="1"/>
  <c r="G1117" i="1"/>
  <c r="J1117" i="1"/>
  <c r="A1116" i="1"/>
  <c r="D1116" i="1"/>
  <c r="F1116" i="1"/>
  <c r="G1116" i="1"/>
  <c r="J1116" i="1"/>
  <c r="A1115" i="1"/>
  <c r="C1115" i="1"/>
  <c r="D1115" i="1"/>
  <c r="F1115" i="1"/>
  <c r="G1115" i="1"/>
  <c r="J1115" i="1"/>
  <c r="A1114" i="1"/>
  <c r="D1114" i="1"/>
  <c r="E1114" i="1"/>
  <c r="F1114" i="1"/>
  <c r="G1114" i="1"/>
  <c r="J1114" i="1"/>
  <c r="A1113" i="1"/>
  <c r="C1113" i="1"/>
  <c r="D1113" i="1"/>
  <c r="F1113" i="1"/>
  <c r="G1113" i="1"/>
  <c r="J1113" i="1"/>
  <c r="A1112" i="1"/>
  <c r="E1112" i="1"/>
  <c r="F1112" i="1"/>
  <c r="J1112" i="1"/>
  <c r="A1111" i="1"/>
  <c r="C1111" i="1"/>
  <c r="D1111" i="1"/>
  <c r="F1111" i="1"/>
  <c r="G1111" i="1"/>
  <c r="J1111" i="1"/>
  <c r="A1110" i="1"/>
  <c r="C1110" i="1"/>
  <c r="D1110" i="1"/>
  <c r="F1110" i="1"/>
  <c r="G1110" i="1"/>
  <c r="J1110" i="1"/>
  <c r="A1109" i="1"/>
  <c r="C1109" i="1"/>
  <c r="D1109" i="1"/>
  <c r="F1109" i="1"/>
  <c r="H1109" i="1"/>
  <c r="J1109" i="1"/>
  <c r="A1108" i="1"/>
  <c r="C1108" i="1"/>
  <c r="D1108" i="1"/>
  <c r="F1108" i="1"/>
  <c r="G1108" i="1"/>
  <c r="J1108" i="1"/>
  <c r="A1107" i="1"/>
  <c r="C1107" i="1"/>
  <c r="D1107" i="1"/>
  <c r="E1107" i="1"/>
  <c r="F1107" i="1"/>
  <c r="G1107" i="1"/>
  <c r="J1107" i="1"/>
  <c r="A1106" i="1"/>
  <c r="C1106" i="1"/>
  <c r="D1106" i="1"/>
  <c r="F1106" i="1"/>
  <c r="H1106" i="1"/>
  <c r="J1106" i="1"/>
  <c r="A1105" i="1"/>
  <c r="C1105" i="1"/>
  <c r="D1105" i="1"/>
  <c r="F1105" i="1"/>
  <c r="G1105" i="1"/>
  <c r="J1105" i="1"/>
  <c r="A1104" i="1"/>
  <c r="C1104" i="1"/>
  <c r="E1104" i="1"/>
  <c r="F1104" i="1"/>
  <c r="G1104" i="1"/>
  <c r="J1104" i="1"/>
  <c r="A1103" i="1"/>
  <c r="C1103" i="1"/>
  <c r="D1103" i="1"/>
  <c r="F1103" i="1"/>
  <c r="G1103" i="1"/>
  <c r="J1103" i="1"/>
  <c r="A1102" i="1"/>
  <c r="D1102" i="1"/>
  <c r="F1102" i="1"/>
  <c r="G1102" i="1"/>
  <c r="J1102" i="1"/>
  <c r="A1101" i="1"/>
  <c r="C1101" i="1"/>
  <c r="D1101" i="1"/>
  <c r="F1101" i="1"/>
  <c r="G1101" i="1"/>
  <c r="J1101" i="1"/>
  <c r="A1100" i="1"/>
  <c r="C1100" i="1"/>
  <c r="D1100" i="1"/>
  <c r="F1100" i="1"/>
  <c r="G1100" i="1"/>
  <c r="J1100" i="1"/>
  <c r="A1098" i="1"/>
  <c r="C1098" i="1"/>
  <c r="D1098" i="1"/>
  <c r="F1098" i="1"/>
  <c r="G1098" i="1"/>
  <c r="J1098" i="1"/>
  <c r="A1099" i="1"/>
  <c r="C1099" i="1"/>
  <c r="D1099" i="1"/>
  <c r="F1099" i="1"/>
  <c r="G1099" i="1"/>
  <c r="J1099" i="1"/>
  <c r="A1097" i="1"/>
  <c r="C1097" i="1"/>
  <c r="D1097" i="1"/>
  <c r="F1097" i="1"/>
  <c r="G1097" i="1"/>
  <c r="J1097" i="1"/>
  <c r="L1097" i="1"/>
  <c r="A1096" i="1"/>
  <c r="C1096" i="1"/>
  <c r="D1096" i="1"/>
  <c r="F1096" i="1"/>
  <c r="G1096" i="1"/>
  <c r="J1096" i="1"/>
  <c r="L1096" i="1"/>
  <c r="A1095" i="1"/>
  <c r="C1095" i="1"/>
  <c r="D1095" i="1"/>
  <c r="F1095" i="1"/>
  <c r="G1095" i="1"/>
  <c r="J1095" i="1"/>
  <c r="A1093" i="1"/>
  <c r="C1093" i="1"/>
  <c r="D1093" i="1"/>
  <c r="F1093" i="1"/>
  <c r="G1093" i="1"/>
  <c r="J1093" i="1"/>
  <c r="A1094" i="1"/>
  <c r="C1094" i="1"/>
  <c r="D1094" i="1"/>
  <c r="F1094" i="1"/>
  <c r="G1094" i="1"/>
  <c r="J1094" i="1"/>
  <c r="L1094" i="1"/>
  <c r="A1092" i="1"/>
  <c r="C1092" i="1"/>
  <c r="D1092" i="1"/>
  <c r="F1092" i="1"/>
  <c r="G1092" i="1"/>
  <c r="J1092" i="1"/>
  <c r="L1092" i="1"/>
  <c r="A1091" i="1"/>
  <c r="C1091" i="1"/>
  <c r="D1091" i="1"/>
  <c r="F1091" i="1"/>
  <c r="G1091" i="1"/>
  <c r="J1091" i="1"/>
  <c r="L1091" i="1"/>
  <c r="A1090" i="1"/>
  <c r="C1090" i="1"/>
  <c r="D1090" i="1"/>
  <c r="F1090" i="1"/>
  <c r="G1090" i="1"/>
  <c r="J1090" i="1"/>
  <c r="L1090" i="1"/>
  <c r="A1089" i="1"/>
  <c r="C1089" i="1"/>
  <c r="D1089" i="1"/>
  <c r="F1089" i="1"/>
  <c r="G1089" i="1"/>
  <c r="J1089" i="1"/>
  <c r="L1089" i="1"/>
  <c r="A1088" i="1"/>
  <c r="C1088" i="1"/>
  <c r="D1088" i="1"/>
  <c r="F1088" i="1"/>
  <c r="G1088" i="1"/>
  <c r="H1088" i="1"/>
  <c r="J1088" i="1"/>
  <c r="A1087" i="1"/>
  <c r="C1087" i="1"/>
  <c r="D1087" i="1"/>
  <c r="F1087" i="1"/>
  <c r="G1087" i="1"/>
  <c r="J1087" i="1"/>
  <c r="L1087" i="1"/>
  <c r="A1086" i="1"/>
  <c r="C1086" i="1"/>
  <c r="D1086" i="1"/>
  <c r="F1086" i="1"/>
  <c r="G1086" i="1"/>
  <c r="J1086" i="1"/>
  <c r="L1086" i="1"/>
  <c r="A1085" i="1"/>
  <c r="C1085" i="1"/>
  <c r="D1085" i="1"/>
  <c r="F1085" i="1"/>
  <c r="G1085" i="1"/>
  <c r="J1085" i="1"/>
  <c r="A1084" i="1"/>
  <c r="C1084" i="1"/>
  <c r="D1084" i="1"/>
  <c r="F1084" i="1"/>
  <c r="G1084" i="1"/>
  <c r="J1084" i="1"/>
  <c r="A1083" i="1"/>
  <c r="C1083" i="1"/>
  <c r="D1083" i="1"/>
  <c r="F1083" i="1"/>
  <c r="G1083" i="1"/>
  <c r="J1083" i="1"/>
  <c r="A1082" i="1"/>
  <c r="D1082" i="1"/>
  <c r="F1082" i="1"/>
  <c r="G1082" i="1"/>
  <c r="J1082" i="1"/>
  <c r="A1081" i="1"/>
  <c r="D1081" i="1"/>
  <c r="F1081" i="1"/>
  <c r="G1081" i="1"/>
  <c r="J1081" i="1"/>
  <c r="A1080" i="1"/>
  <c r="C1080" i="1"/>
  <c r="D1080" i="1"/>
  <c r="E1080" i="1"/>
  <c r="F1080" i="1"/>
  <c r="G1080" i="1"/>
  <c r="J1080" i="1"/>
  <c r="A1079" i="1"/>
  <c r="C1079" i="1"/>
  <c r="D1079" i="1"/>
  <c r="E1079" i="1"/>
  <c r="F1079" i="1"/>
  <c r="G1079" i="1"/>
  <c r="J1079" i="1"/>
  <c r="A1078" i="1"/>
  <c r="C1078" i="1"/>
  <c r="D1078" i="1"/>
  <c r="F1078" i="1"/>
  <c r="G1078" i="1"/>
  <c r="J1078" i="1"/>
  <c r="A1077" i="1"/>
  <c r="C1077" i="1"/>
  <c r="D1077" i="1"/>
  <c r="F1077" i="1"/>
  <c r="G1077" i="1"/>
  <c r="J1077" i="1"/>
  <c r="A1076" i="1"/>
  <c r="C1076" i="1"/>
  <c r="D1076" i="1"/>
  <c r="F1076" i="1"/>
  <c r="G1076" i="1"/>
  <c r="J1076" i="1"/>
  <c r="A1075" i="1"/>
  <c r="C1075" i="1"/>
  <c r="D1075" i="1"/>
  <c r="F1075" i="1"/>
  <c r="G1075" i="1"/>
  <c r="J1075" i="1"/>
  <c r="A1074" i="1"/>
  <c r="C1074" i="1"/>
  <c r="D1074" i="1"/>
  <c r="F1074" i="1"/>
  <c r="G1074" i="1"/>
  <c r="J1074" i="1"/>
  <c r="A1073" i="1"/>
  <c r="C1073" i="1"/>
  <c r="D1073" i="1"/>
  <c r="F1073" i="1"/>
  <c r="G1073" i="1"/>
  <c r="J1073" i="1"/>
  <c r="A1072" i="1"/>
  <c r="C1072" i="1"/>
  <c r="D1072" i="1"/>
  <c r="F1072" i="1"/>
  <c r="G1072" i="1"/>
  <c r="J1072" i="1"/>
  <c r="A1071" i="1"/>
  <c r="C1071" i="1"/>
  <c r="D1071" i="1"/>
  <c r="F1071" i="1"/>
  <c r="G1071" i="1"/>
  <c r="J1071" i="1"/>
  <c r="A1070" i="1"/>
  <c r="C1070" i="1"/>
  <c r="D1070" i="1"/>
  <c r="F1070" i="1"/>
  <c r="G1070" i="1"/>
  <c r="J1070" i="1"/>
  <c r="A1069" i="1"/>
  <c r="D1069" i="1"/>
  <c r="F1069" i="1"/>
  <c r="G1069" i="1"/>
  <c r="J1069" i="1"/>
  <c r="A1068" i="1"/>
  <c r="C1068" i="1"/>
  <c r="D1068" i="1"/>
  <c r="E1068" i="1"/>
  <c r="F1068" i="1"/>
  <c r="G1068" i="1"/>
  <c r="J1068" i="1"/>
  <c r="A1067" i="1"/>
  <c r="C1067" i="1"/>
  <c r="D1067" i="1"/>
  <c r="F1067" i="1"/>
  <c r="G1067" i="1"/>
  <c r="J1067" i="1"/>
  <c r="A1066" i="1"/>
  <c r="C1066" i="1"/>
  <c r="D1066" i="1"/>
  <c r="F1066" i="1"/>
  <c r="G1066" i="1"/>
  <c r="J1066" i="1"/>
  <c r="A1065" i="1"/>
  <c r="C1065" i="1"/>
  <c r="D1065" i="1"/>
  <c r="F1065" i="1"/>
  <c r="G1065" i="1"/>
  <c r="J1065" i="1"/>
  <c r="A1064" i="1"/>
  <c r="D1064" i="1"/>
  <c r="F1064" i="1"/>
  <c r="G1064" i="1"/>
  <c r="J1064" i="1"/>
  <c r="A1063" i="1"/>
  <c r="D1063" i="1"/>
  <c r="F1063" i="1"/>
  <c r="G1063" i="1"/>
  <c r="J1063" i="1"/>
  <c r="A1062" i="1"/>
  <c r="C1062" i="1"/>
  <c r="D1062" i="1"/>
  <c r="E1062" i="1"/>
  <c r="F1062" i="1"/>
  <c r="G1062" i="1"/>
  <c r="J1062" i="1"/>
  <c r="A1061" i="1"/>
  <c r="C1061" i="1"/>
  <c r="D1061" i="1"/>
  <c r="E1061" i="1"/>
  <c r="F1061" i="1"/>
  <c r="G1061" i="1"/>
  <c r="J1061" i="1"/>
  <c r="A1060" i="1"/>
  <c r="C1060" i="1"/>
  <c r="D1060" i="1"/>
  <c r="F1060" i="1"/>
  <c r="G1060" i="1"/>
  <c r="J1060" i="1"/>
  <c r="A1059" i="1"/>
  <c r="C1059" i="1"/>
  <c r="D1059" i="1"/>
  <c r="F1059" i="1"/>
  <c r="G1059" i="1"/>
  <c r="J1059" i="1"/>
  <c r="A1058" i="1"/>
  <c r="C1058" i="1"/>
  <c r="D1058" i="1"/>
  <c r="F1058" i="1"/>
  <c r="G1058" i="1"/>
  <c r="J1058" i="1"/>
  <c r="A1057" i="1"/>
  <c r="C1057" i="1"/>
  <c r="D1057" i="1"/>
  <c r="F1057" i="1"/>
  <c r="G1057" i="1"/>
  <c r="J1057" i="1"/>
  <c r="A1056" i="1"/>
  <c r="C1056" i="1"/>
  <c r="D1056" i="1"/>
  <c r="E1056" i="1"/>
  <c r="F1056" i="1"/>
  <c r="G1056" i="1"/>
  <c r="J1056" i="1"/>
  <c r="A1055" i="1"/>
  <c r="C1055" i="1"/>
  <c r="D1055" i="1"/>
  <c r="E1055" i="1"/>
  <c r="F1055" i="1"/>
  <c r="G1055" i="1"/>
  <c r="J1055" i="1"/>
  <c r="A1054" i="1"/>
  <c r="C1054" i="1"/>
  <c r="D1054" i="1"/>
  <c r="F1054" i="1"/>
  <c r="G1054" i="1"/>
  <c r="J1054" i="1"/>
  <c r="A1053" i="1"/>
  <c r="C1053" i="1"/>
  <c r="D1053" i="1"/>
  <c r="E1053" i="1"/>
  <c r="F1053" i="1"/>
  <c r="G1053" i="1"/>
  <c r="J1053" i="1"/>
  <c r="A1052" i="1"/>
  <c r="C1052" i="1"/>
  <c r="D1052" i="1"/>
  <c r="F1052" i="1"/>
  <c r="G1052" i="1"/>
  <c r="J1052" i="1"/>
  <c r="A1051" i="1"/>
  <c r="C1051" i="1"/>
  <c r="D1051" i="1"/>
  <c r="F1051" i="1"/>
  <c r="G1051" i="1"/>
  <c r="J1051" i="1"/>
  <c r="A1050" i="1"/>
  <c r="C1050" i="1"/>
  <c r="D1050" i="1"/>
  <c r="F1050" i="1"/>
  <c r="G1050" i="1"/>
  <c r="J1050" i="1"/>
  <c r="A1049" i="1"/>
  <c r="D1049" i="1"/>
  <c r="F1049" i="1"/>
  <c r="G1049" i="1"/>
  <c r="J1049" i="1"/>
  <c r="A1048" i="1"/>
  <c r="C1048" i="1"/>
  <c r="D1048" i="1"/>
  <c r="F1048" i="1"/>
  <c r="G1048" i="1"/>
  <c r="J1048" i="1"/>
  <c r="A1047" i="1"/>
  <c r="C1047" i="1"/>
  <c r="D1047" i="1"/>
  <c r="F1047" i="1"/>
  <c r="G1047" i="1"/>
  <c r="J1047" i="1"/>
  <c r="A1046" i="1"/>
  <c r="C1046" i="1"/>
  <c r="D1046" i="1"/>
  <c r="E1046" i="1"/>
  <c r="F1046" i="1"/>
  <c r="G1046" i="1"/>
  <c r="J1046" i="1"/>
  <c r="A1045" i="1"/>
  <c r="C1045" i="1"/>
  <c r="D1045" i="1"/>
  <c r="E1045" i="1"/>
  <c r="F1045" i="1"/>
  <c r="G1045" i="1"/>
  <c r="J1045" i="1"/>
  <c r="A1043" i="1"/>
  <c r="C1043" i="1"/>
  <c r="D1043" i="1"/>
  <c r="F1043" i="1"/>
  <c r="G1043" i="1"/>
  <c r="J1043" i="1"/>
  <c r="A1044" i="1"/>
  <c r="C1044" i="1"/>
  <c r="D1044" i="1"/>
  <c r="E1044" i="1"/>
  <c r="F1044" i="1"/>
  <c r="G1044" i="1"/>
  <c r="J1044" i="1"/>
  <c r="A1042" i="1"/>
  <c r="C1042" i="1"/>
  <c r="D1042" i="1"/>
  <c r="E1042" i="1"/>
  <c r="F1042" i="1"/>
  <c r="G1042" i="1"/>
  <c r="J1042" i="1"/>
  <c r="A1041" i="1"/>
  <c r="C1041" i="1"/>
  <c r="D1041" i="1"/>
  <c r="F1041" i="1"/>
  <c r="G1041" i="1"/>
  <c r="J1041" i="1"/>
  <c r="A1040" i="1"/>
  <c r="C1040" i="1"/>
  <c r="D1040" i="1"/>
  <c r="E1040" i="1"/>
  <c r="F1040" i="1"/>
  <c r="G1040" i="1"/>
  <c r="J1040" i="1"/>
  <c r="A1039" i="1"/>
  <c r="C1039" i="1"/>
  <c r="D1039" i="1"/>
  <c r="E1039" i="1"/>
  <c r="F1039" i="1"/>
  <c r="G1039" i="1"/>
  <c r="J1039" i="1"/>
  <c r="A1038" i="1"/>
  <c r="C1038" i="1"/>
  <c r="D1038" i="1"/>
  <c r="E1038" i="1"/>
  <c r="F1038" i="1"/>
  <c r="G1038" i="1"/>
  <c r="H1038" i="1"/>
  <c r="I1038" i="1"/>
  <c r="J1038" i="1"/>
  <c r="A1037" i="1"/>
  <c r="C1037" i="1"/>
  <c r="D1037" i="1"/>
  <c r="F1037" i="1"/>
  <c r="G1037" i="1"/>
  <c r="J1037" i="1"/>
  <c r="A1036" i="1"/>
  <c r="C1036" i="1"/>
  <c r="D1036" i="1"/>
  <c r="F1036" i="1"/>
  <c r="G1036" i="1"/>
  <c r="J1036" i="1"/>
  <c r="A1035" i="1"/>
  <c r="D1035" i="1"/>
  <c r="F1035" i="1"/>
  <c r="G1035" i="1"/>
  <c r="J1035" i="1"/>
  <c r="A1034" i="1"/>
  <c r="C1034" i="1"/>
  <c r="D1034" i="1"/>
  <c r="F1034" i="1"/>
  <c r="G1034" i="1"/>
  <c r="J1034" i="1"/>
  <c r="A1033" i="1"/>
  <c r="C1033" i="1"/>
  <c r="D1033" i="1"/>
  <c r="E1033" i="1"/>
  <c r="F1033" i="1"/>
  <c r="G1033" i="1"/>
  <c r="J1033" i="1"/>
  <c r="A1032" i="1"/>
  <c r="C1032" i="1"/>
  <c r="D1032" i="1"/>
  <c r="F1032" i="1"/>
  <c r="G1032" i="1"/>
  <c r="J1032" i="1"/>
  <c r="A1031" i="1"/>
  <c r="C1031" i="1"/>
  <c r="D1031" i="1"/>
  <c r="E1031" i="1"/>
  <c r="F1031" i="1"/>
  <c r="G1031" i="1"/>
  <c r="J1031" i="1"/>
  <c r="A1030" i="1"/>
  <c r="C1030" i="1"/>
  <c r="D1030" i="1"/>
  <c r="F1030" i="1"/>
  <c r="G1030" i="1"/>
  <c r="J1030" i="1"/>
  <c r="A1029" i="1"/>
  <c r="D1029" i="1"/>
  <c r="E1029" i="1"/>
  <c r="F1029" i="1"/>
  <c r="G1029" i="1"/>
  <c r="J1029" i="1"/>
  <c r="A1028" i="1"/>
  <c r="D1028" i="1"/>
  <c r="F1028" i="1"/>
  <c r="G1028" i="1"/>
  <c r="J1028" i="1"/>
  <c r="A1027" i="1"/>
  <c r="E1027" i="1"/>
  <c r="F1027" i="1"/>
  <c r="G1027" i="1"/>
  <c r="J1027" i="1"/>
  <c r="A1026" i="1"/>
  <c r="C1026" i="1"/>
  <c r="D1026" i="1"/>
  <c r="F1026" i="1"/>
  <c r="G1026" i="1"/>
  <c r="J1026" i="1"/>
  <c r="A1025" i="1"/>
  <c r="D1025" i="1"/>
  <c r="F1025" i="1"/>
  <c r="G1025" i="1"/>
  <c r="J1025" i="1"/>
  <c r="A1024" i="1"/>
  <c r="D1024" i="1"/>
  <c r="F1024" i="1"/>
  <c r="G1024" i="1"/>
  <c r="J1024" i="1"/>
  <c r="A1023" i="1"/>
  <c r="D1023" i="1"/>
  <c r="F1023" i="1"/>
  <c r="G1023" i="1"/>
  <c r="J1023" i="1"/>
  <c r="A1022" i="1"/>
  <c r="C1022" i="1"/>
  <c r="E1022" i="1"/>
  <c r="F1022" i="1"/>
  <c r="G1022" i="1"/>
  <c r="J1022" i="1"/>
  <c r="A1021" i="1"/>
  <c r="D1021" i="1"/>
  <c r="F1021" i="1"/>
  <c r="G1021" i="1"/>
  <c r="J1021" i="1"/>
  <c r="A1020" i="1"/>
  <c r="C1020" i="1"/>
  <c r="D1020" i="1"/>
  <c r="E1020" i="1"/>
  <c r="F1020" i="1"/>
  <c r="G1020" i="1"/>
  <c r="J1020" i="1"/>
  <c r="A1019" i="1"/>
  <c r="C1019" i="1"/>
  <c r="D1019" i="1"/>
  <c r="F1019" i="1"/>
  <c r="G1019" i="1"/>
  <c r="J1019" i="1"/>
  <c r="A1018" i="1"/>
  <c r="C1018" i="1"/>
  <c r="D1018" i="1"/>
  <c r="F1018" i="1"/>
  <c r="G1018" i="1"/>
  <c r="J1018" i="1"/>
  <c r="A1017" i="1"/>
  <c r="C1017" i="1"/>
  <c r="D1017" i="1"/>
  <c r="F1017" i="1"/>
  <c r="G1017" i="1"/>
  <c r="J1017" i="1"/>
  <c r="A1016" i="1"/>
  <c r="C1016" i="1"/>
  <c r="D1016" i="1"/>
  <c r="F1016" i="1"/>
  <c r="G1016" i="1"/>
  <c r="J1016" i="1"/>
  <c r="A1015" i="1"/>
  <c r="C1015" i="1"/>
  <c r="D1015" i="1"/>
  <c r="F1015" i="1"/>
  <c r="G1015" i="1"/>
  <c r="H1015" i="1"/>
  <c r="J1015" i="1"/>
  <c r="A1013" i="1"/>
  <c r="C1013" i="1"/>
  <c r="D1013" i="1"/>
  <c r="E1013" i="1"/>
  <c r="F1013" i="1"/>
  <c r="G1013" i="1"/>
  <c r="J1013" i="1"/>
  <c r="A1014" i="1"/>
  <c r="C1014" i="1"/>
  <c r="D1014" i="1"/>
  <c r="E1014" i="1"/>
  <c r="F1014" i="1"/>
  <c r="G1014" i="1"/>
  <c r="J1014" i="1"/>
  <c r="A1012" i="1"/>
  <c r="C1012" i="1"/>
  <c r="D1012" i="1"/>
  <c r="F1012" i="1"/>
  <c r="G1012" i="1"/>
  <c r="J1012" i="1"/>
  <c r="A1011" i="1"/>
  <c r="C1011" i="1"/>
  <c r="D1011" i="1"/>
  <c r="E1011" i="1"/>
  <c r="F1011" i="1"/>
  <c r="G1011" i="1"/>
  <c r="J1011" i="1"/>
  <c r="A1010" i="1"/>
  <c r="C1010" i="1"/>
  <c r="D1010" i="1"/>
  <c r="F1010" i="1"/>
  <c r="G1010" i="1"/>
  <c r="J1010" i="1"/>
  <c r="L1010" i="1"/>
  <c r="A1009" i="1"/>
  <c r="C1009" i="1"/>
  <c r="D1009" i="1"/>
  <c r="F1009" i="1"/>
  <c r="G1009" i="1"/>
  <c r="J1009" i="1"/>
  <c r="A1008" i="1"/>
  <c r="D1008" i="1"/>
  <c r="E1008" i="1"/>
  <c r="F1008" i="1"/>
  <c r="G1008" i="1"/>
  <c r="J1008" i="1"/>
  <c r="A1007" i="1"/>
  <c r="C1007" i="1"/>
  <c r="D1007" i="1"/>
  <c r="E1007" i="1"/>
  <c r="F1007" i="1"/>
  <c r="G1007" i="1"/>
  <c r="J1007" i="1"/>
  <c r="A1006" i="1"/>
  <c r="C1006" i="1"/>
  <c r="D1006" i="1"/>
  <c r="F1006" i="1"/>
  <c r="G1006" i="1"/>
  <c r="H1006" i="1"/>
  <c r="J1006" i="1"/>
  <c r="A1005" i="1"/>
  <c r="C1005" i="1"/>
  <c r="D1005" i="1"/>
  <c r="F1005" i="1"/>
  <c r="G1005" i="1"/>
  <c r="J1005" i="1"/>
  <c r="A1004" i="1"/>
  <c r="C1004" i="1"/>
  <c r="D1004" i="1"/>
  <c r="F1004" i="1"/>
  <c r="G1004" i="1"/>
  <c r="J1004" i="1"/>
  <c r="A1003" i="1"/>
  <c r="C1003" i="1"/>
  <c r="D1003" i="1"/>
  <c r="F1003" i="1"/>
  <c r="G1003" i="1"/>
  <c r="J1003" i="1"/>
  <c r="A1001" i="1"/>
  <c r="C1001" i="1"/>
  <c r="D1001" i="1"/>
  <c r="F1001" i="1"/>
  <c r="G1001" i="1"/>
  <c r="J1001" i="1"/>
  <c r="A1002" i="1"/>
  <c r="D1002" i="1"/>
  <c r="F1002" i="1"/>
  <c r="G1002" i="1"/>
  <c r="J1002" i="1"/>
  <c r="A1000" i="1"/>
  <c r="D1000" i="1"/>
  <c r="F1000" i="1"/>
  <c r="G1000" i="1"/>
  <c r="J1000" i="1"/>
  <c r="A999" i="1"/>
  <c r="C999" i="1"/>
  <c r="D999" i="1"/>
  <c r="F999" i="1"/>
  <c r="G999" i="1"/>
  <c r="J999" i="1"/>
  <c r="A998" i="1"/>
  <c r="C998" i="1"/>
  <c r="D998" i="1"/>
  <c r="F998" i="1"/>
  <c r="G998" i="1"/>
  <c r="J998" i="1"/>
  <c r="A997" i="1"/>
  <c r="C997" i="1"/>
  <c r="D997" i="1"/>
  <c r="F997" i="1"/>
  <c r="G997" i="1"/>
  <c r="J997" i="1"/>
  <c r="L997" i="1"/>
  <c r="A996" i="1"/>
  <c r="C996" i="1"/>
  <c r="D996" i="1"/>
  <c r="F996" i="1"/>
  <c r="G996" i="1"/>
  <c r="J996" i="1"/>
  <c r="A995" i="1"/>
  <c r="C995" i="1"/>
  <c r="D995" i="1"/>
  <c r="F995" i="1"/>
  <c r="G995" i="1"/>
  <c r="J995" i="1"/>
  <c r="L995" i="1"/>
  <c r="A994" i="1"/>
  <c r="C994" i="1"/>
  <c r="D994" i="1"/>
  <c r="F994" i="1"/>
  <c r="G994" i="1"/>
  <c r="J994" i="1"/>
  <c r="A993" i="1"/>
  <c r="C993" i="1"/>
  <c r="D993" i="1"/>
  <c r="F993" i="1"/>
  <c r="G993" i="1"/>
  <c r="J993" i="1"/>
  <c r="A992" i="1"/>
  <c r="C992" i="1"/>
  <c r="D992" i="1"/>
  <c r="F992" i="1"/>
  <c r="G992" i="1"/>
  <c r="J992" i="1"/>
  <c r="L992" i="1"/>
  <c r="A991" i="1"/>
  <c r="C991" i="1"/>
  <c r="D991" i="1"/>
  <c r="F991" i="1"/>
  <c r="G991" i="1"/>
  <c r="J991" i="1"/>
  <c r="A990" i="1"/>
  <c r="C990" i="1"/>
  <c r="D990" i="1"/>
  <c r="F990" i="1"/>
  <c r="G990" i="1"/>
  <c r="J990" i="1"/>
  <c r="L990" i="1"/>
  <c r="A989" i="1"/>
  <c r="C989" i="1"/>
  <c r="D989" i="1"/>
  <c r="F989" i="1"/>
  <c r="G989" i="1"/>
  <c r="H989" i="1"/>
  <c r="J989" i="1"/>
  <c r="A988" i="1"/>
  <c r="C988" i="1"/>
  <c r="D988" i="1"/>
  <c r="F988" i="1"/>
  <c r="G988" i="1"/>
  <c r="J988" i="1"/>
  <c r="L988" i="1"/>
  <c r="A987" i="1"/>
  <c r="C987" i="1"/>
  <c r="D987" i="1"/>
  <c r="F987" i="1"/>
  <c r="G987" i="1"/>
  <c r="J987" i="1"/>
  <c r="A986" i="1"/>
  <c r="C986" i="1"/>
  <c r="D986" i="1"/>
  <c r="F986" i="1"/>
  <c r="G986" i="1"/>
  <c r="J986" i="1"/>
  <c r="A985" i="1"/>
  <c r="C985" i="1"/>
  <c r="D985" i="1"/>
  <c r="F985" i="1"/>
  <c r="G985" i="1"/>
  <c r="J985" i="1"/>
  <c r="L985" i="1"/>
  <c r="A984" i="1"/>
  <c r="C984" i="1"/>
  <c r="D984" i="1"/>
  <c r="F984" i="1"/>
  <c r="G984" i="1"/>
  <c r="J984" i="1"/>
  <c r="A983" i="1"/>
  <c r="C983" i="1"/>
  <c r="D983" i="1"/>
  <c r="F983" i="1"/>
  <c r="G983" i="1"/>
  <c r="J983" i="1"/>
  <c r="A982" i="1"/>
  <c r="C982" i="1"/>
  <c r="D982" i="1"/>
  <c r="F982" i="1"/>
  <c r="G982" i="1"/>
  <c r="J982" i="1"/>
  <c r="L982" i="1"/>
  <c r="A981" i="1"/>
  <c r="C981" i="1"/>
  <c r="D981" i="1"/>
  <c r="F981" i="1"/>
  <c r="G981" i="1"/>
  <c r="J981" i="1"/>
  <c r="A980" i="1"/>
  <c r="C980" i="1"/>
  <c r="D980" i="1"/>
  <c r="F980" i="1"/>
  <c r="G980" i="1"/>
  <c r="J980" i="1"/>
  <c r="L980" i="1"/>
  <c r="A979" i="1"/>
  <c r="C979" i="1"/>
  <c r="D979" i="1"/>
  <c r="F979" i="1"/>
  <c r="G979" i="1"/>
  <c r="J979" i="1"/>
  <c r="A977" i="1"/>
  <c r="C977" i="1"/>
  <c r="D977" i="1"/>
  <c r="F977" i="1"/>
  <c r="G977" i="1"/>
  <c r="J977" i="1"/>
  <c r="A978" i="1"/>
  <c r="D978" i="1"/>
  <c r="F978" i="1"/>
  <c r="G978" i="1"/>
  <c r="J978" i="1"/>
  <c r="A976" i="1"/>
  <c r="C976" i="1"/>
  <c r="D976" i="1"/>
  <c r="F976" i="1"/>
  <c r="G976" i="1"/>
  <c r="J976" i="1"/>
  <c r="A975" i="1"/>
  <c r="C975" i="1"/>
  <c r="D975" i="1"/>
  <c r="F975" i="1"/>
  <c r="G975" i="1"/>
  <c r="J975" i="1"/>
  <c r="A974" i="1"/>
  <c r="C974" i="1"/>
  <c r="D974" i="1"/>
  <c r="F974" i="1"/>
  <c r="G974" i="1"/>
  <c r="J974" i="1"/>
  <c r="A973" i="1"/>
  <c r="C973" i="1"/>
  <c r="D973" i="1"/>
  <c r="F973" i="1"/>
  <c r="G973" i="1"/>
  <c r="J973" i="1"/>
  <c r="A972" i="1"/>
  <c r="C972" i="1"/>
  <c r="D972" i="1"/>
  <c r="F972" i="1"/>
  <c r="G972" i="1"/>
  <c r="J972" i="1"/>
  <c r="A971" i="1"/>
  <c r="C971" i="1"/>
  <c r="D971" i="1"/>
  <c r="F971" i="1"/>
  <c r="G971" i="1"/>
  <c r="J971" i="1"/>
  <c r="A970" i="1"/>
  <c r="C970" i="1"/>
  <c r="D970" i="1"/>
  <c r="F970" i="1"/>
  <c r="G970" i="1"/>
  <c r="H970" i="1"/>
  <c r="J970" i="1"/>
  <c r="A969" i="1"/>
  <c r="C969" i="1"/>
  <c r="D969" i="1"/>
  <c r="E969" i="1"/>
  <c r="F969" i="1"/>
  <c r="G969" i="1"/>
  <c r="J969" i="1"/>
  <c r="A968" i="1"/>
  <c r="C968" i="1"/>
  <c r="D968" i="1"/>
  <c r="E968" i="1"/>
  <c r="F968" i="1"/>
  <c r="G968" i="1"/>
  <c r="J968" i="1"/>
  <c r="A967" i="1"/>
  <c r="C967" i="1"/>
  <c r="D967" i="1"/>
  <c r="F967" i="1"/>
  <c r="G967" i="1"/>
  <c r="J967" i="1"/>
  <c r="A966" i="1"/>
  <c r="C966" i="1"/>
  <c r="D966" i="1"/>
  <c r="F966" i="1"/>
  <c r="G966" i="1"/>
  <c r="J966" i="1"/>
  <c r="A965" i="1"/>
  <c r="C965" i="1"/>
  <c r="D965" i="1"/>
  <c r="F965" i="1"/>
  <c r="G965" i="1"/>
  <c r="J965" i="1"/>
  <c r="A964" i="1"/>
  <c r="C964" i="1"/>
  <c r="D964" i="1"/>
  <c r="F964" i="1"/>
  <c r="G964" i="1"/>
  <c r="J964" i="1"/>
  <c r="A963" i="1"/>
  <c r="C963" i="1"/>
  <c r="D963" i="1"/>
  <c r="F963" i="1"/>
  <c r="G963" i="1"/>
  <c r="J963" i="1"/>
  <c r="A962" i="1"/>
  <c r="D962" i="1"/>
  <c r="F962" i="1"/>
  <c r="G962" i="1"/>
  <c r="J962" i="1"/>
  <c r="A961" i="1"/>
  <c r="C961" i="1"/>
  <c r="D961" i="1"/>
  <c r="F961" i="1"/>
  <c r="G961" i="1"/>
  <c r="J961" i="1"/>
  <c r="A960" i="1"/>
  <c r="C960" i="1"/>
  <c r="D960" i="1"/>
  <c r="E960" i="1"/>
  <c r="F960" i="1"/>
  <c r="G960" i="1"/>
  <c r="J960" i="1"/>
  <c r="A959" i="1"/>
  <c r="C959" i="1"/>
  <c r="D959" i="1"/>
  <c r="F959" i="1"/>
  <c r="G959" i="1"/>
  <c r="J959" i="1"/>
  <c r="A958" i="1"/>
  <c r="C958" i="1"/>
  <c r="D958" i="1"/>
  <c r="E958" i="1"/>
  <c r="F958" i="1"/>
  <c r="G958" i="1"/>
  <c r="J958" i="1"/>
  <c r="A957" i="1"/>
  <c r="C957" i="1"/>
  <c r="D957" i="1"/>
  <c r="E957" i="1"/>
  <c r="F957" i="1"/>
  <c r="G957" i="1"/>
  <c r="J957" i="1"/>
  <c r="A956" i="1"/>
  <c r="D956" i="1"/>
  <c r="F956" i="1"/>
  <c r="G956" i="1"/>
  <c r="J956" i="1"/>
  <c r="A955" i="1"/>
  <c r="D955" i="1"/>
  <c r="F955" i="1"/>
  <c r="G955" i="1"/>
  <c r="J955" i="1"/>
  <c r="A954" i="1"/>
  <c r="C954" i="1"/>
  <c r="D954" i="1"/>
  <c r="E954" i="1"/>
  <c r="F954" i="1"/>
  <c r="G954" i="1"/>
  <c r="J954" i="1"/>
  <c r="A953" i="1"/>
  <c r="C953" i="1"/>
  <c r="D953" i="1"/>
  <c r="F953" i="1"/>
  <c r="G953" i="1"/>
  <c r="J953" i="1"/>
  <c r="A952" i="1"/>
  <c r="D952" i="1"/>
  <c r="F952" i="1"/>
  <c r="G952" i="1"/>
  <c r="J952" i="1"/>
  <c r="A951" i="1"/>
  <c r="D951" i="1"/>
  <c r="F951" i="1"/>
  <c r="G951" i="1"/>
  <c r="J951" i="1"/>
  <c r="A950" i="1"/>
  <c r="C950" i="1"/>
  <c r="D950" i="1"/>
  <c r="F950" i="1"/>
  <c r="G950" i="1"/>
  <c r="J950" i="1"/>
  <c r="A949" i="1"/>
  <c r="C949" i="1"/>
  <c r="D949" i="1"/>
  <c r="F949" i="1"/>
  <c r="G949" i="1"/>
  <c r="J949" i="1"/>
  <c r="A948" i="1"/>
  <c r="C948" i="1"/>
  <c r="D948" i="1"/>
  <c r="F948" i="1"/>
  <c r="G948" i="1"/>
  <c r="J948" i="1"/>
  <c r="A947" i="1"/>
  <c r="C947" i="1"/>
  <c r="D947" i="1"/>
  <c r="F947" i="1"/>
  <c r="G947" i="1"/>
  <c r="J947" i="1"/>
  <c r="A946" i="1"/>
  <c r="C946" i="1"/>
  <c r="D946" i="1"/>
  <c r="F946" i="1"/>
  <c r="G946" i="1"/>
  <c r="H946" i="1"/>
  <c r="J946" i="1"/>
  <c r="A944" i="1"/>
  <c r="D944" i="1"/>
  <c r="F944" i="1"/>
  <c r="G944" i="1"/>
  <c r="J944" i="1"/>
  <c r="A945" i="1"/>
  <c r="C945" i="1"/>
  <c r="D945" i="1"/>
  <c r="F945" i="1"/>
  <c r="G945" i="1"/>
  <c r="J945" i="1"/>
  <c r="A943" i="1"/>
  <c r="C943" i="1"/>
  <c r="D943" i="1"/>
  <c r="E943" i="1"/>
  <c r="F943" i="1"/>
  <c r="G943" i="1"/>
  <c r="J943" i="1"/>
  <c r="A942" i="1"/>
  <c r="C942" i="1"/>
  <c r="D942" i="1"/>
  <c r="F942" i="1"/>
  <c r="G942" i="1"/>
  <c r="J942" i="1"/>
  <c r="A941" i="1"/>
  <c r="C941" i="1"/>
  <c r="D941" i="1"/>
  <c r="F941" i="1"/>
  <c r="G941" i="1"/>
  <c r="J941" i="1"/>
  <c r="A940" i="1"/>
  <c r="C940" i="1"/>
  <c r="D940" i="1"/>
  <c r="E940" i="1"/>
  <c r="F940" i="1"/>
  <c r="G940" i="1"/>
  <c r="J940" i="1"/>
  <c r="A939" i="1"/>
  <c r="C939" i="1"/>
  <c r="D939" i="1"/>
  <c r="F939" i="1"/>
  <c r="G939" i="1"/>
  <c r="J939" i="1"/>
  <c r="A938" i="1"/>
  <c r="C938" i="1"/>
  <c r="D938" i="1"/>
  <c r="F938" i="1"/>
  <c r="G938" i="1"/>
  <c r="J938" i="1"/>
  <c r="A937" i="1"/>
  <c r="C937" i="1"/>
  <c r="D937" i="1"/>
  <c r="F937" i="1"/>
  <c r="G937" i="1"/>
  <c r="J937" i="1"/>
  <c r="A936" i="1"/>
  <c r="C936" i="1"/>
  <c r="D936" i="1"/>
  <c r="E936" i="1"/>
  <c r="F936" i="1"/>
  <c r="G936" i="1"/>
  <c r="J936" i="1"/>
  <c r="A935" i="1"/>
  <c r="C935" i="1"/>
  <c r="D935" i="1"/>
  <c r="F935" i="1"/>
  <c r="G935" i="1"/>
  <c r="J935" i="1"/>
  <c r="A934" i="1"/>
  <c r="D934" i="1"/>
  <c r="F934" i="1"/>
  <c r="G934" i="1"/>
  <c r="J934" i="1"/>
  <c r="A932" i="1"/>
  <c r="D932" i="1"/>
  <c r="F932" i="1"/>
  <c r="G932" i="1"/>
  <c r="J932" i="1"/>
  <c r="A933" i="1"/>
  <c r="C933" i="1"/>
  <c r="D933" i="1"/>
  <c r="E933" i="1"/>
  <c r="F933" i="1"/>
  <c r="G933" i="1"/>
  <c r="J933" i="1"/>
  <c r="A931" i="1"/>
  <c r="D931" i="1"/>
  <c r="F931" i="1"/>
  <c r="G931" i="1"/>
  <c r="J931" i="1"/>
  <c r="A930" i="1"/>
  <c r="C930" i="1"/>
  <c r="D930" i="1"/>
  <c r="E930" i="1"/>
  <c r="F930" i="1"/>
  <c r="G930" i="1"/>
  <c r="J930" i="1"/>
  <c r="A929" i="1"/>
  <c r="D929" i="1"/>
  <c r="F929" i="1"/>
  <c r="G929" i="1"/>
  <c r="J929" i="1"/>
  <c r="A928" i="1"/>
  <c r="C928" i="1"/>
  <c r="D928" i="1"/>
  <c r="F928" i="1"/>
  <c r="G928" i="1"/>
  <c r="J928" i="1"/>
  <c r="A927" i="1"/>
  <c r="C927" i="1"/>
  <c r="D927" i="1"/>
  <c r="E927" i="1"/>
  <c r="F927" i="1"/>
  <c r="G927" i="1"/>
  <c r="J927" i="1"/>
  <c r="A926" i="1"/>
  <c r="C926" i="1"/>
  <c r="D926" i="1"/>
  <c r="F926" i="1"/>
  <c r="G926" i="1"/>
  <c r="J926" i="1"/>
  <c r="L926" i="1"/>
  <c r="A925" i="1"/>
  <c r="E925" i="1"/>
  <c r="F925" i="1"/>
  <c r="J925" i="1"/>
  <c r="A924" i="1"/>
  <c r="D924" i="1"/>
  <c r="F924" i="1"/>
  <c r="G924" i="1"/>
  <c r="J924" i="1"/>
  <c r="A923" i="1"/>
  <c r="C923" i="1"/>
  <c r="D923" i="1"/>
  <c r="F923" i="1"/>
  <c r="G923" i="1"/>
  <c r="J923" i="1"/>
  <c r="A922" i="1"/>
  <c r="C922" i="1"/>
  <c r="D922" i="1"/>
  <c r="F922" i="1"/>
  <c r="G922" i="1"/>
  <c r="J922" i="1"/>
  <c r="A921" i="1"/>
  <c r="C921" i="1"/>
  <c r="D921" i="1"/>
  <c r="F921" i="1"/>
  <c r="G921" i="1"/>
  <c r="J921" i="1"/>
  <c r="A920" i="1"/>
  <c r="D920" i="1"/>
  <c r="E920" i="1"/>
  <c r="F920" i="1"/>
  <c r="G920" i="1"/>
  <c r="J920" i="1"/>
  <c r="A918" i="1"/>
  <c r="C918" i="1"/>
  <c r="D918" i="1"/>
  <c r="F918" i="1"/>
  <c r="G918" i="1"/>
  <c r="J918" i="1"/>
  <c r="A919" i="1"/>
  <c r="D919" i="1"/>
  <c r="F919" i="1"/>
  <c r="G919" i="1"/>
  <c r="J919" i="1"/>
  <c r="A917" i="1"/>
  <c r="C917" i="1"/>
  <c r="D917" i="1"/>
  <c r="E917" i="1"/>
  <c r="F917" i="1"/>
  <c r="G917" i="1"/>
  <c r="J917" i="1"/>
  <c r="A916" i="1"/>
  <c r="D916" i="1"/>
  <c r="E916" i="1"/>
  <c r="F916" i="1"/>
  <c r="G916" i="1"/>
  <c r="J916" i="1"/>
  <c r="A915" i="1"/>
  <c r="C915" i="1"/>
  <c r="D915" i="1"/>
  <c r="F915" i="1"/>
  <c r="G915" i="1"/>
  <c r="J915" i="1"/>
  <c r="A914" i="1"/>
  <c r="C914" i="1"/>
  <c r="D914" i="1"/>
  <c r="E914" i="1"/>
  <c r="F914" i="1"/>
  <c r="G914" i="1"/>
  <c r="J914" i="1"/>
  <c r="A913" i="1"/>
  <c r="C913" i="1"/>
  <c r="D913" i="1"/>
  <c r="F913" i="1"/>
  <c r="G913" i="1"/>
  <c r="J913" i="1"/>
  <c r="A912" i="1"/>
  <c r="E912" i="1"/>
  <c r="F912" i="1"/>
  <c r="G912" i="1"/>
  <c r="J912" i="1"/>
  <c r="A911" i="1"/>
  <c r="D911" i="1"/>
  <c r="F911" i="1"/>
  <c r="G911" i="1"/>
  <c r="H911" i="1"/>
  <c r="J911" i="1"/>
  <c r="A910" i="1"/>
  <c r="E910" i="1"/>
  <c r="F910" i="1"/>
  <c r="G910" i="1"/>
  <c r="J910" i="1"/>
  <c r="A909" i="1"/>
  <c r="D909" i="1"/>
  <c r="E909" i="1"/>
  <c r="F909" i="1"/>
  <c r="J909" i="1"/>
  <c r="A908" i="1"/>
  <c r="D908" i="1"/>
  <c r="F908" i="1"/>
  <c r="G908" i="1"/>
  <c r="J908" i="1"/>
  <c r="A907" i="1"/>
  <c r="C907" i="1"/>
  <c r="E907" i="1"/>
  <c r="F907" i="1"/>
  <c r="G907" i="1"/>
  <c r="J907" i="1"/>
  <c r="A906" i="1"/>
  <c r="C906" i="1"/>
  <c r="F906" i="1"/>
  <c r="G906" i="1"/>
  <c r="H906" i="1"/>
  <c r="I906" i="1"/>
  <c r="J906" i="1"/>
  <c r="A905" i="1"/>
  <c r="C905" i="1"/>
  <c r="D905" i="1"/>
  <c r="E905" i="1"/>
  <c r="F905" i="1"/>
  <c r="G905" i="1"/>
  <c r="J905" i="1"/>
  <c r="A904" i="1"/>
  <c r="C904" i="1"/>
  <c r="D904" i="1"/>
  <c r="E904" i="1"/>
  <c r="F904" i="1"/>
  <c r="G904" i="1"/>
  <c r="J904" i="1"/>
  <c r="A903" i="1"/>
  <c r="C903" i="1"/>
  <c r="D903" i="1"/>
  <c r="E903" i="1"/>
  <c r="F903" i="1"/>
  <c r="G903" i="1"/>
  <c r="J903" i="1"/>
  <c r="A902" i="1"/>
  <c r="C902" i="1"/>
  <c r="D902" i="1"/>
  <c r="F902" i="1"/>
  <c r="G902" i="1"/>
  <c r="J902" i="1"/>
  <c r="A901" i="1"/>
  <c r="C901" i="1"/>
  <c r="D901" i="1"/>
  <c r="F901" i="1"/>
  <c r="G901" i="1"/>
  <c r="J901" i="1"/>
  <c r="A900" i="1"/>
  <c r="C900" i="1"/>
  <c r="D900" i="1"/>
  <c r="E900" i="1"/>
  <c r="F900" i="1"/>
  <c r="G900" i="1"/>
  <c r="J900" i="1"/>
  <c r="A899" i="1"/>
  <c r="D899" i="1"/>
  <c r="F899" i="1"/>
  <c r="G899" i="1"/>
  <c r="J899" i="1"/>
  <c r="A898" i="1"/>
  <c r="D898" i="1"/>
  <c r="F898" i="1"/>
  <c r="G898" i="1"/>
  <c r="J898" i="1"/>
  <c r="A897" i="1"/>
  <c r="C897" i="1"/>
  <c r="D897" i="1"/>
  <c r="F897" i="1"/>
  <c r="G897" i="1"/>
  <c r="J897" i="1"/>
  <c r="A896" i="1"/>
  <c r="C896" i="1"/>
  <c r="D896" i="1"/>
  <c r="F896" i="1"/>
  <c r="G896" i="1"/>
  <c r="J896" i="1"/>
  <c r="A895" i="1"/>
  <c r="C895" i="1"/>
  <c r="D895" i="1"/>
  <c r="F895" i="1"/>
  <c r="G895" i="1"/>
  <c r="H895" i="1"/>
  <c r="J895" i="1"/>
  <c r="A894" i="1"/>
  <c r="C894" i="1"/>
  <c r="D894" i="1"/>
  <c r="F894" i="1"/>
  <c r="G894" i="1"/>
  <c r="H894" i="1"/>
  <c r="I894" i="1"/>
  <c r="J894" i="1"/>
  <c r="A893" i="1"/>
  <c r="C893" i="1"/>
  <c r="D893" i="1"/>
  <c r="F893" i="1"/>
  <c r="G893" i="1"/>
  <c r="J893" i="1"/>
  <c r="A892" i="1"/>
  <c r="D892" i="1"/>
  <c r="F892" i="1"/>
  <c r="G892" i="1"/>
  <c r="J892" i="1"/>
  <c r="A891" i="1"/>
  <c r="C891" i="1"/>
  <c r="D891" i="1"/>
  <c r="E891" i="1"/>
  <c r="F891" i="1"/>
  <c r="G891" i="1"/>
  <c r="J891" i="1"/>
  <c r="A890" i="1"/>
  <c r="C890" i="1"/>
  <c r="D890" i="1"/>
  <c r="F890" i="1"/>
  <c r="G890" i="1"/>
  <c r="J890" i="1"/>
  <c r="A889" i="1"/>
  <c r="C889" i="1"/>
  <c r="D889" i="1"/>
  <c r="E889" i="1"/>
  <c r="F889" i="1"/>
  <c r="G889" i="1"/>
  <c r="J889" i="1"/>
  <c r="A888" i="1"/>
  <c r="C888" i="1"/>
  <c r="D888" i="1"/>
  <c r="E888" i="1"/>
  <c r="F888" i="1"/>
  <c r="G888" i="1"/>
  <c r="J888" i="1"/>
  <c r="A887" i="1"/>
  <c r="D887" i="1"/>
  <c r="F887" i="1"/>
  <c r="G887" i="1"/>
  <c r="J887" i="1"/>
  <c r="A886" i="1"/>
  <c r="D886" i="1"/>
  <c r="F886" i="1"/>
  <c r="G886" i="1"/>
  <c r="J886" i="1"/>
  <c r="A885" i="1"/>
  <c r="C885" i="1"/>
  <c r="D885" i="1"/>
  <c r="E885" i="1"/>
  <c r="F885" i="1"/>
  <c r="G885" i="1"/>
  <c r="J885" i="1"/>
  <c r="A884" i="1"/>
  <c r="C884" i="1"/>
  <c r="D884" i="1"/>
  <c r="F884" i="1"/>
  <c r="G884" i="1"/>
  <c r="J884" i="1"/>
  <c r="A883" i="1"/>
  <c r="C883" i="1"/>
  <c r="D883" i="1"/>
  <c r="E883" i="1"/>
  <c r="F883" i="1"/>
  <c r="G883" i="1"/>
  <c r="J883" i="1"/>
  <c r="A882" i="1"/>
  <c r="C882" i="1"/>
  <c r="D882" i="1"/>
  <c r="F882" i="1"/>
  <c r="G882" i="1"/>
  <c r="H882" i="1"/>
  <c r="J882" i="1"/>
  <c r="A881" i="1"/>
  <c r="D881" i="1"/>
  <c r="F881" i="1"/>
  <c r="G881" i="1"/>
  <c r="J881" i="1"/>
  <c r="A880" i="1"/>
  <c r="C880" i="1"/>
  <c r="D880" i="1"/>
  <c r="F880" i="1"/>
  <c r="G880" i="1"/>
  <c r="J880" i="1"/>
  <c r="A879" i="1"/>
  <c r="C879" i="1"/>
  <c r="D879" i="1"/>
  <c r="F879" i="1"/>
  <c r="G879" i="1"/>
  <c r="J879" i="1"/>
  <c r="A878" i="1"/>
  <c r="C878" i="1"/>
  <c r="D878" i="1"/>
  <c r="E878" i="1"/>
  <c r="F878" i="1"/>
  <c r="G878" i="1"/>
  <c r="J878" i="1"/>
  <c r="A877" i="1"/>
  <c r="C877" i="1"/>
  <c r="D877" i="1"/>
  <c r="F877" i="1"/>
  <c r="G877" i="1"/>
  <c r="J877" i="1"/>
  <c r="A875" i="1"/>
  <c r="C875" i="1"/>
  <c r="D875" i="1"/>
  <c r="F875" i="1"/>
  <c r="G875" i="1"/>
  <c r="H875" i="1"/>
  <c r="J875" i="1"/>
  <c r="A876" i="1"/>
  <c r="C876" i="1"/>
  <c r="D876" i="1"/>
  <c r="E876" i="1"/>
  <c r="F876" i="1"/>
  <c r="G876" i="1"/>
  <c r="H876" i="1"/>
  <c r="I876" i="1"/>
  <c r="J876" i="1"/>
  <c r="A874" i="1"/>
  <c r="E874" i="1"/>
  <c r="F874" i="1"/>
  <c r="J874" i="1"/>
  <c r="A873" i="1"/>
  <c r="C873" i="1"/>
  <c r="D873" i="1"/>
  <c r="F873" i="1"/>
  <c r="G873" i="1"/>
  <c r="J873" i="1"/>
  <c r="A872" i="1"/>
  <c r="C872" i="1"/>
  <c r="D872" i="1"/>
  <c r="F872" i="1"/>
  <c r="G872" i="1"/>
  <c r="J872" i="1"/>
  <c r="A871" i="1"/>
  <c r="C871" i="1"/>
  <c r="D871" i="1"/>
  <c r="E871" i="1"/>
  <c r="F871" i="1"/>
  <c r="G871" i="1"/>
  <c r="H871" i="1"/>
  <c r="I871" i="1"/>
  <c r="J871" i="1"/>
  <c r="A870" i="1"/>
  <c r="C870" i="1"/>
  <c r="D870" i="1"/>
  <c r="E870" i="1"/>
  <c r="F870" i="1"/>
  <c r="G870" i="1"/>
  <c r="J870" i="1"/>
  <c r="A869" i="1"/>
  <c r="C869" i="1"/>
  <c r="D869" i="1"/>
  <c r="F869" i="1"/>
  <c r="G869" i="1"/>
  <c r="J869" i="1"/>
  <c r="A868" i="1"/>
  <c r="C868" i="1"/>
  <c r="D868" i="1"/>
  <c r="E868" i="1"/>
  <c r="F868" i="1"/>
  <c r="G868" i="1"/>
  <c r="J868" i="1"/>
  <c r="A867" i="1"/>
  <c r="C867" i="1"/>
  <c r="D867" i="1"/>
  <c r="E867" i="1"/>
  <c r="F867" i="1"/>
  <c r="G867" i="1"/>
  <c r="J867" i="1"/>
  <c r="A866" i="1"/>
  <c r="C866" i="1"/>
  <c r="D866" i="1"/>
  <c r="E866" i="1"/>
  <c r="F866" i="1"/>
  <c r="G866" i="1"/>
  <c r="J866" i="1"/>
  <c r="A865" i="1"/>
  <c r="C865" i="1"/>
  <c r="D865" i="1"/>
  <c r="F865" i="1"/>
  <c r="G865" i="1"/>
  <c r="J865" i="1"/>
  <c r="A864" i="1"/>
  <c r="C864" i="1"/>
  <c r="D864" i="1"/>
  <c r="E864" i="1"/>
  <c r="F864" i="1"/>
  <c r="G864" i="1"/>
  <c r="J864" i="1"/>
  <c r="A863" i="1"/>
  <c r="C863" i="1"/>
  <c r="D863" i="1"/>
  <c r="E863" i="1"/>
  <c r="F863" i="1"/>
  <c r="G863" i="1"/>
  <c r="J863" i="1"/>
  <c r="A862" i="1"/>
  <c r="C862" i="1"/>
  <c r="D862" i="1"/>
  <c r="E862" i="1"/>
  <c r="F862" i="1"/>
  <c r="G862" i="1"/>
  <c r="J862" i="1"/>
  <c r="A861" i="1"/>
  <c r="C861" i="1"/>
  <c r="D861" i="1"/>
  <c r="F861" i="1"/>
  <c r="G861" i="1"/>
  <c r="J861" i="1"/>
  <c r="A860" i="1"/>
  <c r="C860" i="1"/>
  <c r="D860" i="1"/>
  <c r="F860" i="1"/>
  <c r="G860" i="1"/>
  <c r="J860" i="1"/>
  <c r="A859" i="1"/>
  <c r="C859" i="1"/>
  <c r="D859" i="1"/>
  <c r="F859" i="1"/>
  <c r="G859" i="1"/>
  <c r="J859" i="1"/>
  <c r="A858" i="1"/>
  <c r="C858" i="1"/>
  <c r="D858" i="1"/>
  <c r="E858" i="1"/>
  <c r="F858" i="1"/>
  <c r="G858" i="1"/>
  <c r="J858" i="1"/>
  <c r="A857" i="1"/>
  <c r="C857" i="1"/>
  <c r="D857" i="1"/>
  <c r="E857" i="1"/>
  <c r="F857" i="1"/>
  <c r="G857" i="1"/>
  <c r="J857" i="1"/>
  <c r="A856" i="1"/>
  <c r="C856" i="1"/>
  <c r="D856" i="1"/>
  <c r="E856" i="1"/>
  <c r="F856" i="1"/>
  <c r="G856" i="1"/>
  <c r="J856" i="1"/>
  <c r="A855" i="1"/>
  <c r="C855" i="1"/>
  <c r="D855" i="1"/>
  <c r="E855" i="1"/>
  <c r="F855" i="1"/>
  <c r="G855" i="1"/>
  <c r="J855" i="1"/>
  <c r="A854" i="1"/>
  <c r="C854" i="1"/>
  <c r="D854" i="1"/>
  <c r="F854" i="1"/>
  <c r="G854" i="1"/>
  <c r="J854" i="1"/>
  <c r="L854" i="1"/>
  <c r="A853" i="1"/>
  <c r="D853" i="1"/>
  <c r="F853" i="1"/>
  <c r="G853" i="1"/>
  <c r="J853" i="1"/>
  <c r="A852" i="1"/>
  <c r="C852" i="1"/>
  <c r="D852" i="1"/>
  <c r="F852" i="1"/>
  <c r="G852" i="1"/>
  <c r="J852" i="1"/>
  <c r="A851" i="1"/>
  <c r="C851" i="1"/>
  <c r="D851" i="1"/>
  <c r="F851" i="1"/>
  <c r="G851" i="1"/>
  <c r="H851" i="1"/>
  <c r="J851" i="1"/>
  <c r="A850" i="1"/>
  <c r="C850" i="1"/>
  <c r="D850" i="1"/>
  <c r="F850" i="1"/>
  <c r="G850" i="1"/>
  <c r="H850" i="1"/>
  <c r="I850" i="1"/>
  <c r="J850" i="1"/>
  <c r="A849" i="1"/>
  <c r="C849" i="1"/>
  <c r="D849" i="1"/>
  <c r="E849" i="1"/>
  <c r="F849" i="1"/>
  <c r="G849" i="1"/>
  <c r="J849" i="1"/>
  <c r="A848" i="1"/>
  <c r="C848" i="1"/>
  <c r="D848" i="1"/>
  <c r="F848" i="1"/>
  <c r="G848" i="1"/>
  <c r="J848" i="1"/>
  <c r="A847" i="1"/>
  <c r="D847" i="1"/>
  <c r="F847" i="1"/>
  <c r="G847" i="1"/>
  <c r="H847" i="1"/>
  <c r="J847" i="1"/>
  <c r="A846" i="1"/>
  <c r="C846" i="1"/>
  <c r="D846" i="1"/>
  <c r="E846" i="1"/>
  <c r="F846" i="1"/>
  <c r="G846" i="1"/>
  <c r="J846" i="1"/>
  <c r="A845" i="1"/>
  <c r="D845" i="1"/>
  <c r="F845" i="1"/>
  <c r="G845" i="1"/>
  <c r="J845" i="1"/>
  <c r="A843" i="1"/>
  <c r="C843" i="1"/>
  <c r="D843" i="1"/>
  <c r="E843" i="1"/>
  <c r="F843" i="1"/>
  <c r="G843" i="1"/>
  <c r="J843" i="1"/>
  <c r="A844" i="1"/>
  <c r="C844" i="1"/>
  <c r="D844" i="1"/>
  <c r="E844" i="1"/>
  <c r="F844" i="1"/>
  <c r="G844" i="1"/>
  <c r="J844" i="1"/>
  <c r="A842" i="1"/>
  <c r="C842" i="1"/>
  <c r="D842" i="1"/>
  <c r="F842" i="1"/>
  <c r="G842" i="1"/>
  <c r="J842" i="1"/>
  <c r="A841" i="1"/>
  <c r="C841" i="1"/>
  <c r="D841" i="1"/>
  <c r="F841" i="1"/>
  <c r="G841" i="1"/>
  <c r="J841" i="1"/>
  <c r="A840" i="1"/>
  <c r="C840" i="1"/>
  <c r="D840" i="1"/>
  <c r="F840" i="1"/>
  <c r="G840" i="1"/>
  <c r="J840" i="1"/>
  <c r="A839" i="1"/>
  <c r="C839" i="1"/>
  <c r="D839" i="1"/>
  <c r="F839" i="1"/>
  <c r="G839" i="1"/>
  <c r="J839" i="1"/>
  <c r="A838" i="1"/>
  <c r="C838" i="1"/>
  <c r="D838" i="1"/>
  <c r="F838" i="1"/>
  <c r="G838" i="1"/>
  <c r="J838" i="1"/>
  <c r="A837" i="1"/>
  <c r="C837" i="1"/>
  <c r="D837" i="1"/>
  <c r="E837" i="1"/>
  <c r="F837" i="1"/>
  <c r="G837" i="1"/>
  <c r="J837" i="1"/>
  <c r="A836" i="1"/>
  <c r="D836" i="1"/>
  <c r="F836" i="1"/>
  <c r="G836" i="1"/>
  <c r="J836" i="1"/>
  <c r="A835" i="1"/>
  <c r="C835" i="1"/>
  <c r="D835" i="1"/>
  <c r="E835" i="1"/>
  <c r="F835" i="1"/>
  <c r="G835" i="1"/>
  <c r="J835" i="1"/>
  <c r="A834" i="1"/>
  <c r="D834" i="1"/>
  <c r="F834" i="1"/>
  <c r="G834" i="1"/>
  <c r="J834" i="1"/>
  <c r="A833" i="1"/>
  <c r="C833" i="1"/>
  <c r="D833" i="1"/>
  <c r="F833" i="1"/>
  <c r="G833" i="1"/>
  <c r="J833" i="1"/>
  <c r="A832" i="1"/>
  <c r="C832" i="1"/>
  <c r="D832" i="1"/>
  <c r="F832" i="1"/>
  <c r="G832" i="1"/>
  <c r="J832" i="1"/>
  <c r="A831" i="1"/>
  <c r="C831" i="1"/>
  <c r="D831" i="1"/>
  <c r="F831" i="1"/>
  <c r="G831" i="1"/>
  <c r="J831" i="1"/>
  <c r="A830" i="1"/>
  <c r="C830" i="1"/>
  <c r="D830" i="1"/>
  <c r="F830" i="1"/>
  <c r="G830" i="1"/>
  <c r="J830" i="1"/>
  <c r="A829" i="1"/>
  <c r="C829" i="1"/>
  <c r="D829" i="1"/>
  <c r="F829" i="1"/>
  <c r="G829" i="1"/>
  <c r="J829" i="1"/>
  <c r="A828" i="1"/>
  <c r="C828" i="1"/>
  <c r="D828" i="1"/>
  <c r="F828" i="1"/>
  <c r="G828" i="1"/>
  <c r="J828" i="1"/>
  <c r="A827" i="1"/>
  <c r="C827" i="1"/>
  <c r="D827" i="1"/>
  <c r="F827" i="1"/>
  <c r="G827" i="1"/>
  <c r="H827" i="1"/>
  <c r="J827" i="1"/>
  <c r="A826" i="1"/>
  <c r="C826" i="1"/>
  <c r="D826" i="1"/>
  <c r="F826" i="1"/>
  <c r="G826" i="1"/>
  <c r="J826" i="1"/>
  <c r="A825" i="1"/>
  <c r="C825" i="1"/>
  <c r="D825" i="1"/>
  <c r="F825" i="1"/>
  <c r="G825" i="1"/>
  <c r="J825" i="1"/>
  <c r="A824" i="1"/>
  <c r="C824" i="1"/>
  <c r="D824" i="1"/>
  <c r="F824" i="1"/>
  <c r="G824" i="1"/>
  <c r="J824" i="1"/>
  <c r="A823" i="1"/>
  <c r="C823" i="1"/>
  <c r="D823" i="1"/>
  <c r="F823" i="1"/>
  <c r="G823" i="1"/>
  <c r="J823" i="1"/>
  <c r="A822" i="1"/>
  <c r="C822" i="1"/>
  <c r="D822" i="1"/>
  <c r="F822" i="1"/>
  <c r="G822" i="1"/>
  <c r="J822" i="1"/>
  <c r="A821" i="1"/>
  <c r="C821" i="1"/>
  <c r="D821" i="1"/>
  <c r="F821" i="1"/>
  <c r="G821" i="1"/>
  <c r="J821" i="1"/>
  <c r="A820" i="1"/>
  <c r="C820" i="1"/>
  <c r="D820" i="1"/>
  <c r="F820" i="1"/>
  <c r="G820" i="1"/>
  <c r="J820" i="1"/>
  <c r="A819" i="1"/>
  <c r="C819" i="1"/>
  <c r="D819" i="1"/>
  <c r="F819" i="1"/>
  <c r="G819" i="1"/>
  <c r="J819" i="1"/>
  <c r="A818" i="1"/>
  <c r="C818" i="1"/>
  <c r="D818" i="1"/>
  <c r="F818" i="1"/>
  <c r="G818" i="1"/>
  <c r="J818" i="1"/>
  <c r="A817" i="1"/>
  <c r="C817" i="1"/>
  <c r="D817" i="1"/>
  <c r="F817" i="1"/>
  <c r="G817" i="1"/>
  <c r="J817" i="1"/>
  <c r="A816" i="1"/>
  <c r="C816" i="1"/>
  <c r="D816" i="1"/>
  <c r="F816" i="1"/>
  <c r="G816" i="1"/>
  <c r="J816" i="1"/>
  <c r="A815" i="1"/>
  <c r="C815" i="1"/>
  <c r="D815" i="1"/>
  <c r="F815" i="1"/>
  <c r="G815" i="1"/>
  <c r="J815" i="1"/>
  <c r="A814" i="1"/>
  <c r="C814" i="1"/>
  <c r="D814" i="1"/>
  <c r="E814" i="1"/>
  <c r="F814" i="1"/>
  <c r="H814" i="1"/>
  <c r="J814" i="1"/>
  <c r="A813" i="1"/>
  <c r="C813" i="1"/>
  <c r="D813" i="1"/>
  <c r="F813" i="1"/>
  <c r="G813" i="1"/>
  <c r="J813" i="1"/>
  <c r="A812" i="1"/>
  <c r="C812" i="1"/>
  <c r="D812" i="1"/>
  <c r="E812" i="1"/>
  <c r="F812" i="1"/>
  <c r="G812" i="1"/>
  <c r="J812" i="1"/>
  <c r="A811" i="1"/>
  <c r="C811" i="1"/>
  <c r="D811" i="1"/>
  <c r="E811" i="1"/>
  <c r="F811" i="1"/>
  <c r="G811" i="1"/>
  <c r="J811" i="1"/>
  <c r="A810" i="1"/>
  <c r="C810" i="1"/>
  <c r="D810" i="1"/>
  <c r="E810" i="1"/>
  <c r="F810" i="1"/>
  <c r="G810" i="1"/>
  <c r="J810" i="1"/>
  <c r="A809" i="1"/>
  <c r="C809" i="1"/>
  <c r="D809" i="1"/>
  <c r="E809" i="1"/>
  <c r="F809" i="1"/>
  <c r="G809" i="1"/>
  <c r="J809" i="1"/>
  <c r="A808" i="1"/>
  <c r="C808" i="1"/>
  <c r="D808" i="1"/>
  <c r="F808" i="1"/>
  <c r="G808" i="1"/>
  <c r="J808" i="1"/>
  <c r="A807" i="1"/>
  <c r="C807" i="1"/>
  <c r="D807" i="1"/>
  <c r="E807" i="1"/>
  <c r="F807" i="1"/>
  <c r="G807" i="1"/>
  <c r="J807" i="1"/>
  <c r="A806" i="1"/>
  <c r="C806" i="1"/>
  <c r="D806" i="1"/>
  <c r="E806" i="1"/>
  <c r="F806" i="1"/>
  <c r="G806" i="1"/>
  <c r="J806" i="1"/>
  <c r="A805" i="1"/>
  <c r="C805" i="1"/>
  <c r="D805" i="1"/>
  <c r="E805" i="1"/>
  <c r="F805" i="1"/>
  <c r="G805" i="1"/>
  <c r="J805" i="1"/>
  <c r="A804" i="1"/>
  <c r="C804" i="1"/>
  <c r="D804" i="1"/>
  <c r="E804" i="1"/>
  <c r="F804" i="1"/>
  <c r="G804" i="1"/>
  <c r="J804" i="1"/>
  <c r="A803" i="1"/>
  <c r="D803" i="1"/>
  <c r="F803" i="1"/>
  <c r="G803" i="1"/>
  <c r="H803" i="1"/>
  <c r="J803" i="1"/>
  <c r="A802" i="1"/>
  <c r="C802" i="1"/>
  <c r="D802" i="1"/>
  <c r="E802" i="1"/>
  <c r="F802" i="1"/>
  <c r="G802" i="1"/>
  <c r="J802" i="1"/>
  <c r="A801" i="1"/>
  <c r="C801" i="1"/>
  <c r="D801" i="1"/>
  <c r="E801" i="1"/>
  <c r="F801" i="1"/>
  <c r="G801" i="1"/>
  <c r="J801" i="1"/>
  <c r="A800" i="1"/>
  <c r="C800" i="1"/>
  <c r="D800" i="1"/>
  <c r="E800" i="1"/>
  <c r="F800" i="1"/>
  <c r="G800" i="1"/>
  <c r="J800" i="1"/>
  <c r="A799" i="1"/>
  <c r="C799" i="1"/>
  <c r="D799" i="1"/>
  <c r="E799" i="1"/>
  <c r="F799" i="1"/>
  <c r="G799" i="1"/>
  <c r="J799" i="1"/>
  <c r="A798" i="1"/>
  <c r="C798" i="1"/>
  <c r="D798" i="1"/>
  <c r="F798" i="1"/>
  <c r="G798" i="1"/>
  <c r="H798" i="1"/>
  <c r="J798" i="1"/>
  <c r="A796" i="1"/>
  <c r="C796" i="1"/>
  <c r="D796" i="1"/>
  <c r="F796" i="1"/>
  <c r="G796" i="1"/>
  <c r="H796" i="1"/>
  <c r="J796" i="1"/>
  <c r="A797" i="1"/>
  <c r="C797" i="1"/>
  <c r="D797" i="1"/>
  <c r="E797" i="1"/>
  <c r="F797" i="1"/>
  <c r="G797" i="1"/>
  <c r="J797" i="1"/>
  <c r="A795" i="1"/>
  <c r="C795" i="1"/>
  <c r="D795" i="1"/>
  <c r="F795" i="1"/>
  <c r="G795" i="1"/>
  <c r="J795" i="1"/>
  <c r="A794" i="1"/>
  <c r="C794" i="1"/>
  <c r="D794" i="1"/>
  <c r="F794" i="1"/>
  <c r="G794" i="1"/>
  <c r="J794" i="1"/>
  <c r="A793" i="1"/>
  <c r="C793" i="1"/>
  <c r="D793" i="1"/>
  <c r="F793" i="1"/>
  <c r="G793" i="1"/>
  <c r="J793" i="1"/>
  <c r="L793" i="1"/>
  <c r="A792" i="1"/>
  <c r="C792" i="1"/>
  <c r="D792" i="1"/>
  <c r="E792" i="1"/>
  <c r="F792" i="1"/>
  <c r="G792" i="1"/>
  <c r="J792" i="1"/>
  <c r="A791" i="1"/>
  <c r="D791" i="1"/>
  <c r="F791" i="1"/>
  <c r="G791" i="1"/>
  <c r="J791" i="1"/>
  <c r="A790" i="1"/>
  <c r="C790" i="1"/>
  <c r="D790" i="1"/>
  <c r="F790" i="1"/>
  <c r="G790" i="1"/>
  <c r="H790" i="1"/>
  <c r="J790" i="1"/>
  <c r="A789" i="1"/>
  <c r="C789" i="1"/>
  <c r="D789" i="1"/>
  <c r="F789" i="1"/>
  <c r="G789" i="1"/>
  <c r="J789" i="1"/>
  <c r="A788" i="1"/>
  <c r="C788" i="1"/>
  <c r="D788" i="1"/>
  <c r="F788" i="1"/>
  <c r="G788" i="1"/>
  <c r="J788" i="1"/>
  <c r="A787" i="1"/>
  <c r="D787" i="1"/>
  <c r="E787" i="1"/>
  <c r="F787" i="1"/>
  <c r="G787" i="1"/>
  <c r="J787" i="1"/>
  <c r="A786" i="1"/>
  <c r="E786" i="1"/>
  <c r="F786" i="1"/>
  <c r="G786" i="1"/>
  <c r="J786" i="1"/>
  <c r="A785" i="1"/>
  <c r="C785" i="1"/>
  <c r="D785" i="1"/>
  <c r="F785" i="1"/>
  <c r="G785" i="1"/>
  <c r="J785" i="1"/>
  <c r="A784" i="1"/>
  <c r="C784" i="1"/>
  <c r="D784" i="1"/>
  <c r="F784" i="1"/>
  <c r="G784" i="1"/>
  <c r="J784" i="1"/>
  <c r="A783" i="1"/>
  <c r="C783" i="1"/>
  <c r="E783" i="1"/>
  <c r="F783" i="1"/>
  <c r="G783" i="1"/>
  <c r="J783" i="1"/>
  <c r="A782" i="1"/>
  <c r="C782" i="1"/>
  <c r="D782" i="1"/>
  <c r="F782" i="1"/>
  <c r="G782" i="1"/>
  <c r="J782" i="1"/>
  <c r="A781" i="1"/>
  <c r="C781" i="1"/>
  <c r="D781" i="1"/>
  <c r="F781" i="1"/>
  <c r="G781" i="1"/>
  <c r="J781" i="1"/>
  <c r="A780" i="1"/>
  <c r="C780" i="1"/>
  <c r="D780" i="1"/>
  <c r="F780" i="1"/>
  <c r="G780" i="1"/>
  <c r="J780" i="1"/>
  <c r="A779" i="1"/>
  <c r="C779" i="1"/>
  <c r="D779" i="1"/>
  <c r="F779" i="1"/>
  <c r="G779" i="1"/>
  <c r="J779" i="1"/>
  <c r="A778" i="1"/>
  <c r="C778" i="1"/>
  <c r="D778" i="1"/>
  <c r="E778" i="1"/>
  <c r="F778" i="1"/>
  <c r="G778" i="1"/>
  <c r="J778" i="1"/>
  <c r="A777" i="1"/>
  <c r="C777" i="1"/>
  <c r="D777" i="1"/>
  <c r="F777" i="1"/>
  <c r="G777" i="1"/>
  <c r="J777" i="1"/>
  <c r="A776" i="1"/>
  <c r="C776" i="1"/>
  <c r="D776" i="1"/>
  <c r="F776" i="1"/>
  <c r="G776" i="1"/>
  <c r="J776" i="1"/>
  <c r="A775" i="1"/>
  <c r="D775" i="1"/>
  <c r="E775" i="1"/>
  <c r="F775" i="1"/>
  <c r="G775" i="1"/>
  <c r="J775" i="1"/>
  <c r="A774" i="1"/>
  <c r="C774" i="1"/>
  <c r="D774" i="1"/>
  <c r="E774" i="1"/>
  <c r="F774" i="1"/>
  <c r="G774" i="1"/>
  <c r="J774" i="1"/>
  <c r="A773" i="1"/>
  <c r="C773" i="1"/>
  <c r="D773" i="1"/>
  <c r="F773" i="1"/>
  <c r="G773" i="1"/>
  <c r="J773" i="1"/>
  <c r="A772" i="1"/>
  <c r="C772" i="1"/>
  <c r="D772" i="1"/>
  <c r="F772" i="1"/>
  <c r="G772" i="1"/>
  <c r="J772" i="1"/>
  <c r="K772" i="1"/>
  <c r="A771" i="1"/>
  <c r="E771" i="1"/>
  <c r="F771" i="1"/>
  <c r="G771" i="1"/>
  <c r="J771" i="1"/>
  <c r="A770" i="1"/>
  <c r="C770" i="1"/>
  <c r="D770" i="1"/>
  <c r="E770" i="1"/>
  <c r="F770" i="1"/>
  <c r="G770" i="1"/>
  <c r="J770" i="1"/>
  <c r="A769" i="1"/>
  <c r="C769" i="1"/>
  <c r="D769" i="1"/>
  <c r="F769" i="1"/>
  <c r="G769" i="1"/>
  <c r="J769" i="1"/>
  <c r="A768" i="1"/>
  <c r="C768" i="1"/>
  <c r="D768" i="1"/>
  <c r="E768" i="1"/>
  <c r="F768" i="1"/>
  <c r="G768" i="1"/>
  <c r="J768" i="1"/>
  <c r="A767" i="1"/>
  <c r="C767" i="1"/>
  <c r="D767" i="1"/>
  <c r="F767" i="1"/>
  <c r="G767" i="1"/>
  <c r="J767" i="1"/>
  <c r="A766" i="1"/>
  <c r="C766" i="1"/>
  <c r="D766" i="1"/>
  <c r="F766" i="1"/>
  <c r="G766" i="1"/>
  <c r="J766" i="1"/>
  <c r="A765" i="1"/>
  <c r="C765" i="1"/>
  <c r="D765" i="1"/>
  <c r="F765" i="1"/>
  <c r="G765" i="1"/>
  <c r="J765" i="1"/>
  <c r="A764" i="1"/>
  <c r="C764" i="1"/>
  <c r="D764" i="1"/>
  <c r="F764" i="1"/>
  <c r="G764" i="1"/>
  <c r="J764" i="1"/>
  <c r="A761" i="1"/>
  <c r="C761" i="1"/>
  <c r="D761" i="1"/>
  <c r="F761" i="1"/>
  <c r="G761" i="1"/>
  <c r="J761" i="1"/>
  <c r="A763" i="1"/>
  <c r="C763" i="1"/>
  <c r="D763" i="1"/>
  <c r="E763" i="1"/>
  <c r="F763" i="1"/>
  <c r="G763" i="1"/>
  <c r="J763" i="1"/>
  <c r="A762" i="1"/>
  <c r="C762" i="1"/>
  <c r="D762" i="1"/>
  <c r="E762" i="1"/>
  <c r="F762" i="1"/>
  <c r="G762" i="1"/>
  <c r="J762" i="1"/>
  <c r="A760" i="1"/>
  <c r="C760" i="1"/>
  <c r="D760" i="1"/>
  <c r="F760" i="1"/>
  <c r="G760" i="1"/>
  <c r="J760" i="1"/>
  <c r="A759" i="1"/>
  <c r="D759" i="1"/>
  <c r="F759" i="1"/>
  <c r="G759" i="1"/>
  <c r="J759" i="1"/>
  <c r="A758" i="1"/>
  <c r="C758" i="1"/>
  <c r="D758" i="1"/>
  <c r="E758" i="1"/>
  <c r="F758" i="1"/>
  <c r="G758" i="1"/>
  <c r="J758" i="1"/>
  <c r="A757" i="1"/>
  <c r="C757" i="1"/>
  <c r="D757" i="1"/>
  <c r="F757" i="1"/>
  <c r="G757" i="1"/>
  <c r="J757" i="1"/>
  <c r="A756" i="1"/>
  <c r="C756" i="1"/>
  <c r="D756" i="1"/>
  <c r="F756" i="1"/>
  <c r="G756" i="1"/>
  <c r="J756" i="1"/>
  <c r="A755" i="1"/>
  <c r="C755" i="1"/>
  <c r="E755" i="1"/>
  <c r="F755" i="1"/>
  <c r="G755" i="1"/>
  <c r="J755" i="1"/>
  <c r="A754" i="1"/>
  <c r="D754" i="1"/>
  <c r="F754" i="1"/>
  <c r="G754" i="1"/>
  <c r="J754" i="1"/>
  <c r="A753" i="1"/>
  <c r="C753" i="1"/>
  <c r="D753" i="1"/>
  <c r="F753" i="1"/>
  <c r="G753" i="1"/>
  <c r="J753" i="1"/>
  <c r="A752" i="1"/>
  <c r="C752" i="1"/>
  <c r="D752" i="1"/>
  <c r="F752" i="1"/>
  <c r="G752" i="1"/>
  <c r="J752" i="1"/>
  <c r="A751" i="1"/>
  <c r="C751" i="1"/>
  <c r="D751" i="1"/>
  <c r="F751" i="1"/>
  <c r="G751" i="1"/>
  <c r="J751" i="1"/>
  <c r="A750" i="1"/>
  <c r="C750" i="1"/>
  <c r="D750" i="1"/>
  <c r="F750" i="1"/>
  <c r="G750" i="1"/>
  <c r="H750" i="1"/>
  <c r="I750" i="1"/>
  <c r="J750" i="1"/>
  <c r="A749" i="1"/>
  <c r="C749" i="1"/>
  <c r="D749" i="1"/>
  <c r="F749" i="1"/>
  <c r="G749" i="1"/>
  <c r="J749" i="1"/>
  <c r="A748" i="1"/>
  <c r="C748" i="1"/>
  <c r="D748" i="1"/>
  <c r="E748" i="1"/>
  <c r="F748" i="1"/>
  <c r="G748" i="1"/>
  <c r="J748" i="1"/>
  <c r="A747" i="1"/>
  <c r="C747" i="1"/>
  <c r="D747" i="1"/>
  <c r="F747" i="1"/>
  <c r="G747" i="1"/>
  <c r="J747" i="1"/>
  <c r="A746" i="1"/>
  <c r="C746" i="1"/>
  <c r="D746" i="1"/>
  <c r="F746" i="1"/>
  <c r="G746" i="1"/>
  <c r="J746" i="1"/>
  <c r="A745" i="1"/>
  <c r="C745" i="1"/>
  <c r="D745" i="1"/>
  <c r="F745" i="1"/>
  <c r="G745" i="1"/>
  <c r="H745" i="1"/>
  <c r="I745" i="1"/>
  <c r="J745" i="1"/>
  <c r="A744" i="1"/>
  <c r="C744" i="1"/>
  <c r="D744" i="1"/>
  <c r="F744" i="1"/>
  <c r="G744" i="1"/>
  <c r="H744" i="1"/>
  <c r="I744" i="1"/>
  <c r="J744" i="1"/>
  <c r="A743" i="1"/>
  <c r="C743" i="1"/>
  <c r="D743" i="1"/>
  <c r="F743" i="1"/>
  <c r="G743" i="1"/>
  <c r="H743" i="1"/>
  <c r="J743" i="1"/>
  <c r="A742" i="1"/>
  <c r="C742" i="1"/>
  <c r="D742" i="1"/>
  <c r="F742" i="1"/>
  <c r="G742" i="1"/>
  <c r="J742" i="1"/>
  <c r="A741" i="1"/>
  <c r="C741" i="1"/>
  <c r="D741" i="1"/>
  <c r="F741" i="1"/>
  <c r="G741" i="1"/>
  <c r="H741" i="1"/>
  <c r="J741" i="1"/>
  <c r="A740" i="1"/>
  <c r="C740" i="1"/>
  <c r="D740" i="1"/>
  <c r="F740" i="1"/>
  <c r="G740" i="1"/>
  <c r="J740" i="1"/>
  <c r="A739" i="1"/>
  <c r="C739" i="1"/>
  <c r="D739" i="1"/>
  <c r="F739" i="1"/>
  <c r="G739" i="1"/>
  <c r="J739" i="1"/>
  <c r="A738" i="1"/>
  <c r="C738" i="1"/>
  <c r="D738" i="1"/>
  <c r="F738" i="1"/>
  <c r="G738" i="1"/>
  <c r="H738" i="1"/>
  <c r="J738" i="1"/>
  <c r="A737" i="1"/>
  <c r="C737" i="1"/>
  <c r="D737" i="1"/>
  <c r="F737" i="1"/>
  <c r="G737" i="1"/>
  <c r="H737" i="1"/>
  <c r="J737" i="1"/>
  <c r="A736" i="1"/>
  <c r="C736" i="1"/>
  <c r="D736" i="1"/>
  <c r="F736" i="1"/>
  <c r="G736" i="1"/>
  <c r="J736" i="1"/>
  <c r="A735" i="1"/>
  <c r="C735" i="1"/>
  <c r="D735" i="1"/>
  <c r="F735" i="1"/>
  <c r="G735" i="1"/>
  <c r="J735" i="1"/>
  <c r="A734" i="1"/>
  <c r="C734" i="1"/>
  <c r="D734" i="1"/>
  <c r="F734" i="1"/>
  <c r="G734" i="1"/>
  <c r="J734" i="1"/>
  <c r="A733" i="1"/>
  <c r="C733" i="1"/>
  <c r="D733" i="1"/>
  <c r="E733" i="1"/>
  <c r="F733" i="1"/>
  <c r="G733" i="1"/>
  <c r="J733" i="1"/>
  <c r="A732" i="1"/>
  <c r="C732" i="1"/>
  <c r="D732" i="1"/>
  <c r="F732" i="1"/>
  <c r="G732" i="1"/>
  <c r="J732" i="1"/>
  <c r="A731" i="1"/>
  <c r="C731" i="1"/>
  <c r="D731" i="1"/>
  <c r="F731" i="1"/>
  <c r="G731" i="1"/>
  <c r="J731" i="1"/>
  <c r="A729" i="1"/>
  <c r="C729" i="1"/>
  <c r="D729" i="1"/>
  <c r="F729" i="1"/>
  <c r="G729" i="1"/>
  <c r="J729" i="1"/>
  <c r="A730" i="1"/>
  <c r="D730" i="1"/>
  <c r="E730" i="1"/>
  <c r="F730" i="1"/>
  <c r="G730" i="1"/>
  <c r="J730" i="1"/>
  <c r="A728" i="1"/>
  <c r="C728" i="1"/>
  <c r="D728" i="1"/>
  <c r="E728" i="1"/>
  <c r="F728" i="1"/>
  <c r="G728" i="1"/>
  <c r="J728" i="1"/>
  <c r="A727" i="1"/>
  <c r="C727" i="1"/>
  <c r="D727" i="1"/>
  <c r="F727" i="1"/>
  <c r="G727" i="1"/>
  <c r="J727" i="1"/>
  <c r="A726" i="1"/>
  <c r="C726" i="1"/>
  <c r="D726" i="1"/>
  <c r="F726" i="1"/>
  <c r="G726" i="1"/>
  <c r="J726" i="1"/>
  <c r="A725" i="1"/>
  <c r="C725" i="1"/>
  <c r="D725" i="1"/>
  <c r="F725" i="1"/>
  <c r="G725" i="1"/>
  <c r="J725" i="1"/>
  <c r="A724" i="1"/>
  <c r="C724" i="1"/>
  <c r="D724" i="1"/>
  <c r="E724" i="1"/>
  <c r="F724" i="1"/>
  <c r="G724" i="1"/>
  <c r="J724" i="1"/>
  <c r="A722" i="1"/>
  <c r="C722" i="1"/>
  <c r="D722" i="1"/>
  <c r="F722" i="1"/>
  <c r="G722" i="1"/>
  <c r="J722" i="1"/>
  <c r="A723" i="1"/>
  <c r="E723" i="1"/>
  <c r="F723" i="1"/>
  <c r="G723" i="1"/>
  <c r="J723" i="1"/>
  <c r="A721" i="1"/>
  <c r="C721" i="1"/>
  <c r="D721" i="1"/>
  <c r="F721" i="1"/>
  <c r="G721" i="1"/>
  <c r="H721" i="1"/>
  <c r="I721" i="1"/>
  <c r="J721" i="1"/>
  <c r="A720" i="1"/>
  <c r="C720" i="1"/>
  <c r="D720" i="1"/>
  <c r="F720" i="1"/>
  <c r="G720" i="1"/>
  <c r="J720" i="1"/>
  <c r="A719" i="1"/>
  <c r="C719" i="1"/>
  <c r="D719" i="1"/>
  <c r="F719" i="1"/>
  <c r="G719" i="1"/>
  <c r="J719" i="1"/>
  <c r="A718" i="1"/>
  <c r="C718" i="1"/>
  <c r="D718" i="1"/>
  <c r="F718" i="1"/>
  <c r="H718" i="1"/>
  <c r="J718" i="1"/>
  <c r="A717" i="1"/>
  <c r="C717" i="1"/>
  <c r="D717" i="1"/>
  <c r="F717" i="1"/>
  <c r="G717" i="1"/>
  <c r="H717" i="1"/>
  <c r="I717" i="1"/>
  <c r="J717" i="1"/>
  <c r="A716" i="1"/>
  <c r="C716" i="1"/>
  <c r="D716" i="1"/>
  <c r="F716" i="1"/>
  <c r="G716" i="1"/>
  <c r="J716" i="1"/>
  <c r="A715" i="1"/>
  <c r="C715" i="1"/>
  <c r="D715" i="1"/>
  <c r="F715" i="1"/>
  <c r="G715" i="1"/>
  <c r="J715" i="1"/>
  <c r="A714" i="1"/>
  <c r="C714" i="1"/>
  <c r="D714" i="1"/>
  <c r="E714" i="1"/>
  <c r="F714" i="1"/>
  <c r="G714" i="1"/>
  <c r="J714" i="1"/>
  <c r="A713" i="1"/>
  <c r="C713" i="1"/>
  <c r="D713" i="1"/>
  <c r="F713" i="1"/>
  <c r="G713" i="1"/>
  <c r="H713" i="1"/>
  <c r="I713" i="1"/>
  <c r="J713" i="1"/>
  <c r="A712" i="1"/>
  <c r="C712" i="1"/>
  <c r="D712" i="1"/>
  <c r="F712" i="1"/>
  <c r="G712" i="1"/>
  <c r="J712" i="1"/>
  <c r="A711" i="1"/>
  <c r="C711" i="1"/>
  <c r="D711" i="1"/>
  <c r="F711" i="1"/>
  <c r="G711" i="1"/>
  <c r="H711" i="1"/>
  <c r="I711" i="1"/>
  <c r="J711" i="1"/>
  <c r="A710" i="1"/>
  <c r="C710" i="1"/>
  <c r="E710" i="1"/>
  <c r="F710" i="1"/>
  <c r="G710" i="1"/>
  <c r="J710" i="1"/>
  <c r="A709" i="1"/>
  <c r="C709" i="1"/>
  <c r="D709" i="1"/>
  <c r="F709" i="1"/>
  <c r="G709" i="1"/>
  <c r="H709" i="1"/>
  <c r="I709" i="1"/>
  <c r="J709" i="1"/>
  <c r="A708" i="1"/>
  <c r="C708" i="1"/>
  <c r="D708" i="1"/>
  <c r="F708" i="1"/>
  <c r="G708" i="1"/>
  <c r="H708" i="1"/>
  <c r="I708" i="1"/>
  <c r="J708" i="1"/>
  <c r="A707" i="1"/>
  <c r="C707" i="1"/>
  <c r="D707" i="1"/>
  <c r="F707" i="1"/>
  <c r="G707" i="1"/>
  <c r="H707" i="1"/>
  <c r="I707" i="1"/>
  <c r="J707" i="1"/>
  <c r="A706" i="1"/>
  <c r="C706" i="1"/>
  <c r="D706" i="1"/>
  <c r="F706" i="1"/>
  <c r="G706" i="1"/>
  <c r="H706" i="1"/>
  <c r="J706" i="1"/>
  <c r="A705" i="1"/>
  <c r="C705" i="1"/>
  <c r="D705" i="1"/>
  <c r="F705" i="1"/>
  <c r="G705" i="1"/>
  <c r="J705" i="1"/>
  <c r="A703" i="1"/>
  <c r="C703" i="1"/>
  <c r="D703" i="1"/>
  <c r="F703" i="1"/>
  <c r="G703" i="1"/>
  <c r="J703" i="1"/>
  <c r="A704" i="1"/>
  <c r="C704" i="1"/>
  <c r="F704" i="1"/>
  <c r="G704" i="1"/>
  <c r="H704" i="1"/>
  <c r="I704" i="1"/>
  <c r="J704" i="1"/>
  <c r="L704" i="1"/>
  <c r="A702" i="1"/>
  <c r="C702" i="1"/>
  <c r="F702" i="1"/>
  <c r="G702" i="1"/>
  <c r="H702" i="1"/>
  <c r="I702" i="1"/>
  <c r="J702" i="1"/>
  <c r="L702" i="1"/>
  <c r="A701" i="1"/>
  <c r="C701" i="1"/>
  <c r="F701" i="1"/>
  <c r="G701" i="1"/>
  <c r="H701" i="1"/>
  <c r="I701" i="1"/>
  <c r="J701" i="1"/>
  <c r="L701" i="1"/>
  <c r="A700" i="1"/>
  <c r="C700" i="1"/>
  <c r="D700" i="1"/>
  <c r="F700" i="1"/>
  <c r="G700" i="1"/>
  <c r="J700" i="1"/>
  <c r="A699" i="1"/>
  <c r="C699" i="1"/>
  <c r="D699" i="1"/>
  <c r="F699" i="1"/>
  <c r="G699" i="1"/>
  <c r="J699" i="1"/>
  <c r="A698" i="1"/>
  <c r="C698" i="1"/>
  <c r="D698" i="1"/>
  <c r="E698" i="1"/>
  <c r="F698" i="1"/>
  <c r="G698" i="1"/>
  <c r="J698" i="1"/>
  <c r="A697" i="1"/>
  <c r="C697" i="1"/>
  <c r="D697" i="1"/>
  <c r="E697" i="1"/>
  <c r="F697" i="1"/>
  <c r="G697" i="1"/>
  <c r="J697" i="1"/>
  <c r="A696" i="1"/>
  <c r="C696" i="1"/>
  <c r="D696" i="1"/>
  <c r="E696" i="1"/>
  <c r="F696" i="1"/>
  <c r="G696" i="1"/>
  <c r="J696" i="1"/>
  <c r="A695" i="1"/>
  <c r="C695" i="1"/>
  <c r="D695" i="1"/>
  <c r="E695" i="1"/>
  <c r="F695" i="1"/>
  <c r="G695" i="1"/>
  <c r="J695" i="1"/>
  <c r="A694" i="1"/>
  <c r="C694" i="1"/>
  <c r="D694" i="1"/>
  <c r="F694" i="1"/>
  <c r="G694" i="1"/>
  <c r="J694" i="1"/>
  <c r="L694" i="1"/>
  <c r="A693" i="1"/>
  <c r="C693" i="1"/>
  <c r="D693" i="1"/>
  <c r="E693" i="1"/>
  <c r="F693" i="1"/>
  <c r="G693" i="1"/>
  <c r="J693" i="1"/>
  <c r="A692" i="1"/>
  <c r="C692" i="1"/>
  <c r="D692" i="1"/>
  <c r="E692" i="1"/>
  <c r="F692" i="1"/>
  <c r="G692" i="1"/>
  <c r="J692" i="1"/>
  <c r="A691" i="1"/>
  <c r="D691" i="1"/>
  <c r="F691" i="1"/>
  <c r="G691" i="1"/>
  <c r="J691" i="1"/>
  <c r="A690" i="1"/>
  <c r="C690" i="1"/>
  <c r="D690" i="1"/>
  <c r="E690" i="1"/>
  <c r="F690" i="1"/>
  <c r="G690" i="1"/>
  <c r="J690" i="1"/>
  <c r="A689" i="1"/>
  <c r="C689" i="1"/>
  <c r="D689" i="1"/>
  <c r="F689" i="1"/>
  <c r="G689" i="1"/>
  <c r="J689" i="1"/>
  <c r="L689" i="1"/>
  <c r="A687" i="1"/>
  <c r="C687" i="1"/>
  <c r="D687" i="1"/>
  <c r="F687" i="1"/>
  <c r="G687" i="1"/>
  <c r="J687" i="1"/>
  <c r="L687" i="1"/>
  <c r="A688" i="1"/>
  <c r="C688" i="1"/>
  <c r="D688" i="1"/>
  <c r="E688" i="1"/>
  <c r="F688" i="1"/>
  <c r="G688" i="1"/>
  <c r="J688" i="1"/>
  <c r="A686" i="1"/>
  <c r="C686" i="1"/>
  <c r="D686" i="1"/>
  <c r="F686" i="1"/>
  <c r="G686" i="1"/>
  <c r="J686" i="1"/>
  <c r="L686" i="1"/>
  <c r="A685" i="1"/>
  <c r="C685" i="1"/>
  <c r="D685" i="1"/>
  <c r="E685" i="1"/>
  <c r="F685" i="1"/>
  <c r="G685" i="1"/>
  <c r="J685" i="1"/>
  <c r="A684" i="1"/>
  <c r="C684" i="1"/>
  <c r="D684" i="1"/>
  <c r="E684" i="1"/>
  <c r="F684" i="1"/>
  <c r="G684" i="1"/>
  <c r="J684" i="1"/>
  <c r="A683" i="1"/>
  <c r="C683" i="1"/>
  <c r="D683" i="1"/>
  <c r="E683" i="1"/>
  <c r="F683" i="1"/>
  <c r="G683" i="1"/>
  <c r="J683" i="1"/>
  <c r="A682" i="1"/>
  <c r="C682" i="1"/>
  <c r="D682" i="1"/>
  <c r="F682" i="1"/>
  <c r="G682" i="1"/>
  <c r="J682" i="1"/>
  <c r="A681" i="1"/>
  <c r="D681" i="1"/>
  <c r="F681" i="1"/>
  <c r="G681" i="1"/>
  <c r="J681" i="1"/>
  <c r="A679" i="1"/>
  <c r="C679" i="1"/>
  <c r="D679" i="1"/>
  <c r="E679" i="1"/>
  <c r="F679" i="1"/>
  <c r="G679" i="1"/>
  <c r="J679" i="1"/>
  <c r="A680" i="1"/>
  <c r="C680" i="1"/>
  <c r="D680" i="1"/>
  <c r="E680" i="1"/>
  <c r="F680" i="1"/>
  <c r="G680" i="1"/>
  <c r="J680" i="1"/>
  <c r="A677" i="1"/>
  <c r="C677" i="1"/>
  <c r="D677" i="1"/>
  <c r="E677" i="1"/>
  <c r="F677" i="1"/>
  <c r="G677" i="1"/>
  <c r="J677" i="1"/>
  <c r="A678" i="1"/>
  <c r="C678" i="1"/>
  <c r="D678" i="1"/>
  <c r="F678" i="1"/>
  <c r="G678" i="1"/>
  <c r="J678" i="1"/>
  <c r="A675" i="1"/>
  <c r="C675" i="1"/>
  <c r="D675" i="1"/>
  <c r="E675" i="1"/>
  <c r="F675" i="1"/>
  <c r="G675" i="1"/>
  <c r="J675" i="1"/>
  <c r="A676" i="1"/>
  <c r="C676" i="1"/>
  <c r="D676" i="1"/>
  <c r="F676" i="1"/>
  <c r="G676" i="1"/>
  <c r="J676" i="1"/>
  <c r="A674" i="1"/>
  <c r="C674" i="1"/>
  <c r="D674" i="1"/>
  <c r="E674" i="1"/>
  <c r="F674" i="1"/>
  <c r="G674" i="1"/>
  <c r="J674" i="1"/>
  <c r="A672" i="1"/>
  <c r="C672" i="1"/>
  <c r="D672" i="1"/>
  <c r="E672" i="1"/>
  <c r="F672" i="1"/>
  <c r="G672" i="1"/>
  <c r="J672" i="1"/>
  <c r="A673" i="1"/>
  <c r="C673" i="1"/>
  <c r="D673" i="1"/>
  <c r="E673" i="1"/>
  <c r="F673" i="1"/>
  <c r="G673" i="1"/>
  <c r="J673" i="1"/>
  <c r="A671" i="1"/>
  <c r="C671" i="1"/>
  <c r="D671" i="1"/>
  <c r="E671" i="1"/>
  <c r="F671" i="1"/>
  <c r="G671" i="1"/>
  <c r="J671" i="1"/>
  <c r="A670" i="1"/>
  <c r="C670" i="1"/>
  <c r="D670" i="1"/>
  <c r="F670" i="1"/>
  <c r="G670" i="1"/>
  <c r="J670" i="1"/>
  <c r="A669" i="1"/>
  <c r="C669" i="1"/>
  <c r="D669" i="1"/>
  <c r="F669" i="1"/>
  <c r="G669" i="1"/>
  <c r="J669" i="1"/>
  <c r="A668" i="1"/>
  <c r="C668" i="1"/>
  <c r="D668" i="1"/>
  <c r="F668" i="1"/>
  <c r="G668" i="1"/>
  <c r="J668" i="1"/>
  <c r="A667" i="1"/>
  <c r="C667" i="1"/>
  <c r="D667" i="1"/>
  <c r="F667" i="1"/>
  <c r="G667" i="1"/>
  <c r="J667" i="1"/>
  <c r="A666" i="1"/>
  <c r="C666" i="1"/>
  <c r="D666" i="1"/>
  <c r="E666" i="1"/>
  <c r="F666" i="1"/>
  <c r="G666" i="1"/>
  <c r="J666" i="1"/>
  <c r="A665" i="1"/>
  <c r="C665" i="1"/>
  <c r="D665" i="1"/>
  <c r="F665" i="1"/>
  <c r="G665" i="1"/>
  <c r="J665" i="1"/>
  <c r="A664" i="1"/>
  <c r="C664" i="1"/>
  <c r="D664" i="1"/>
  <c r="F664" i="1"/>
  <c r="G664" i="1"/>
  <c r="J664" i="1"/>
  <c r="A663" i="1"/>
  <c r="C663" i="1"/>
  <c r="D663" i="1"/>
  <c r="F663" i="1"/>
  <c r="G663" i="1"/>
  <c r="J663" i="1"/>
  <c r="L663" i="1"/>
  <c r="A662" i="1"/>
  <c r="C662" i="1"/>
  <c r="D662" i="1"/>
  <c r="F662" i="1"/>
  <c r="G662" i="1"/>
  <c r="J662" i="1"/>
  <c r="A661" i="1"/>
  <c r="C661" i="1"/>
  <c r="D661" i="1"/>
  <c r="F661" i="1"/>
  <c r="G661" i="1"/>
  <c r="J661" i="1"/>
  <c r="A660" i="1"/>
  <c r="C660" i="1"/>
  <c r="D660" i="1"/>
  <c r="F660" i="1"/>
  <c r="G660" i="1"/>
  <c r="J660" i="1"/>
  <c r="A659" i="1"/>
  <c r="C659" i="1"/>
  <c r="D659" i="1"/>
  <c r="E659" i="1"/>
  <c r="F659" i="1"/>
  <c r="G659" i="1"/>
  <c r="J659" i="1"/>
  <c r="A658" i="1"/>
  <c r="C658" i="1"/>
  <c r="D658" i="1"/>
  <c r="F658" i="1"/>
  <c r="G658" i="1"/>
  <c r="J658" i="1"/>
  <c r="A657" i="1"/>
  <c r="C657" i="1"/>
  <c r="D657" i="1"/>
  <c r="F657" i="1"/>
  <c r="G657" i="1"/>
  <c r="J657" i="1"/>
  <c r="L657" i="1"/>
  <c r="A656" i="1"/>
  <c r="C656" i="1"/>
  <c r="D656" i="1"/>
  <c r="F656" i="1"/>
  <c r="G656" i="1"/>
  <c r="J656" i="1"/>
  <c r="A655" i="1"/>
  <c r="D655" i="1"/>
  <c r="F655" i="1"/>
  <c r="G655" i="1"/>
  <c r="J655" i="1"/>
  <c r="A654" i="1"/>
  <c r="C654" i="1"/>
  <c r="D654" i="1"/>
  <c r="F654" i="1"/>
  <c r="G654" i="1"/>
  <c r="J654" i="1"/>
  <c r="A653" i="1"/>
  <c r="C653" i="1"/>
  <c r="D653" i="1"/>
  <c r="E653" i="1"/>
  <c r="F653" i="1"/>
  <c r="G653" i="1"/>
  <c r="J653" i="1"/>
  <c r="A652" i="1"/>
  <c r="C652" i="1"/>
  <c r="D652" i="1"/>
  <c r="F652" i="1"/>
  <c r="G652" i="1"/>
  <c r="J652" i="1"/>
  <c r="A651" i="1"/>
  <c r="D651" i="1"/>
  <c r="F651" i="1"/>
  <c r="G651" i="1"/>
  <c r="J651" i="1"/>
  <c r="A650" i="1"/>
  <c r="C650" i="1"/>
  <c r="D650" i="1"/>
  <c r="F650" i="1"/>
  <c r="G650" i="1"/>
  <c r="J650" i="1"/>
  <c r="A648" i="1"/>
  <c r="C648" i="1"/>
  <c r="D648" i="1"/>
  <c r="F648" i="1"/>
  <c r="G648" i="1"/>
  <c r="J648" i="1"/>
  <c r="A649" i="1"/>
  <c r="D649" i="1"/>
  <c r="F649" i="1"/>
  <c r="G649" i="1"/>
  <c r="J649" i="1"/>
  <c r="A647" i="1"/>
  <c r="C647" i="1"/>
  <c r="D647" i="1"/>
  <c r="E647" i="1"/>
  <c r="F647" i="1"/>
  <c r="G647" i="1"/>
  <c r="J647" i="1"/>
  <c r="A646" i="1"/>
  <c r="C646" i="1"/>
  <c r="D646" i="1"/>
  <c r="F646" i="1"/>
  <c r="G646" i="1"/>
  <c r="J646" i="1"/>
  <c r="A645" i="1"/>
  <c r="C645" i="1"/>
  <c r="D645" i="1"/>
  <c r="F645" i="1"/>
  <c r="G645" i="1"/>
  <c r="J645" i="1"/>
  <c r="A644" i="1"/>
  <c r="C644" i="1"/>
  <c r="D644" i="1"/>
  <c r="F644" i="1"/>
  <c r="G644" i="1"/>
  <c r="J644" i="1"/>
  <c r="A643" i="1"/>
  <c r="C643" i="1"/>
  <c r="D643" i="1"/>
  <c r="E643" i="1"/>
  <c r="F643" i="1"/>
  <c r="G643" i="1"/>
  <c r="J643" i="1"/>
  <c r="A642" i="1"/>
  <c r="C642" i="1"/>
  <c r="D642" i="1"/>
  <c r="E642" i="1"/>
  <c r="F642" i="1"/>
  <c r="G642" i="1"/>
  <c r="J642" i="1"/>
  <c r="A641" i="1"/>
  <c r="C641" i="1"/>
  <c r="D641" i="1"/>
  <c r="E641" i="1"/>
  <c r="F641" i="1"/>
  <c r="G641" i="1"/>
  <c r="J641" i="1"/>
  <c r="A639" i="1"/>
  <c r="C639" i="1"/>
  <c r="D639" i="1"/>
  <c r="F639" i="1"/>
  <c r="G639" i="1"/>
  <c r="J639" i="1"/>
  <c r="A640" i="1"/>
  <c r="C640" i="1"/>
  <c r="D640" i="1"/>
  <c r="F640" i="1"/>
  <c r="G640" i="1"/>
  <c r="J640" i="1"/>
  <c r="A638" i="1"/>
  <c r="C638" i="1"/>
  <c r="D638" i="1"/>
  <c r="F638" i="1"/>
  <c r="G638" i="1"/>
  <c r="J638" i="1"/>
  <c r="A635" i="1"/>
  <c r="C635" i="1"/>
  <c r="D635" i="1"/>
  <c r="F635" i="1"/>
  <c r="G635" i="1"/>
  <c r="J635" i="1"/>
  <c r="A636" i="1"/>
  <c r="D636" i="1"/>
  <c r="F636" i="1"/>
  <c r="G636" i="1"/>
  <c r="J636" i="1"/>
  <c r="A637" i="1"/>
  <c r="C637" i="1"/>
  <c r="D637" i="1"/>
  <c r="F637" i="1"/>
  <c r="G637" i="1"/>
  <c r="J637" i="1"/>
  <c r="A634" i="1"/>
  <c r="C634" i="1"/>
  <c r="D634" i="1"/>
  <c r="F634" i="1"/>
  <c r="G634" i="1"/>
  <c r="J634" i="1"/>
  <c r="A633" i="1"/>
  <c r="C633" i="1"/>
  <c r="D633" i="1"/>
  <c r="F633" i="1"/>
  <c r="G633" i="1"/>
  <c r="J633" i="1"/>
  <c r="A632" i="1"/>
  <c r="C632" i="1"/>
  <c r="D632" i="1"/>
  <c r="E632" i="1"/>
  <c r="F632" i="1"/>
  <c r="G632" i="1"/>
  <c r="J632" i="1"/>
  <c r="A631" i="1"/>
  <c r="C631" i="1"/>
  <c r="D631" i="1"/>
  <c r="F631" i="1"/>
  <c r="G631" i="1"/>
  <c r="J631" i="1"/>
  <c r="A629" i="1"/>
  <c r="C629" i="1"/>
  <c r="D629" i="1"/>
  <c r="F629" i="1"/>
  <c r="G629" i="1"/>
  <c r="J629" i="1"/>
  <c r="A630" i="1"/>
  <c r="C630" i="1"/>
  <c r="D630" i="1"/>
  <c r="F630" i="1"/>
  <c r="G630" i="1"/>
  <c r="J630" i="1"/>
  <c r="A628" i="1"/>
  <c r="C628" i="1"/>
  <c r="D628" i="1"/>
  <c r="F628" i="1"/>
  <c r="G628" i="1"/>
  <c r="J628" i="1"/>
  <c r="A627" i="1"/>
  <c r="C627" i="1"/>
  <c r="D627" i="1"/>
  <c r="E627" i="1"/>
  <c r="F627" i="1"/>
  <c r="G627" i="1"/>
  <c r="J627" i="1"/>
  <c r="A626" i="1"/>
  <c r="C626" i="1"/>
  <c r="D626" i="1"/>
  <c r="F626" i="1"/>
  <c r="G626" i="1"/>
  <c r="J626" i="1"/>
  <c r="A625" i="1"/>
  <c r="C625" i="1"/>
  <c r="D625" i="1"/>
  <c r="E625" i="1"/>
  <c r="F625" i="1"/>
  <c r="G625" i="1"/>
  <c r="J625" i="1"/>
  <c r="A624" i="1"/>
  <c r="C624" i="1"/>
  <c r="D624" i="1"/>
  <c r="F624" i="1"/>
  <c r="G624" i="1"/>
  <c r="J624" i="1"/>
  <c r="A623" i="1"/>
  <c r="C623" i="1"/>
  <c r="D623" i="1"/>
  <c r="F623" i="1"/>
  <c r="G623" i="1"/>
  <c r="J623" i="1"/>
  <c r="A622" i="1"/>
  <c r="C622" i="1"/>
  <c r="D622" i="1"/>
  <c r="E622" i="1"/>
  <c r="F622" i="1"/>
  <c r="G622" i="1"/>
  <c r="J622" i="1"/>
  <c r="A621" i="1"/>
  <c r="C621" i="1"/>
  <c r="D621" i="1"/>
  <c r="F621" i="1"/>
  <c r="G621" i="1"/>
  <c r="J621" i="1"/>
  <c r="A620" i="1"/>
  <c r="C620" i="1"/>
  <c r="D620" i="1"/>
  <c r="F620" i="1"/>
  <c r="G620" i="1"/>
  <c r="J620" i="1"/>
  <c r="A619" i="1"/>
  <c r="C619" i="1"/>
  <c r="D619" i="1"/>
  <c r="F619" i="1"/>
  <c r="G619" i="1"/>
  <c r="J619" i="1"/>
  <c r="A618" i="1"/>
  <c r="C618" i="1"/>
  <c r="D618" i="1"/>
  <c r="E618" i="1"/>
  <c r="F618" i="1"/>
  <c r="G618" i="1"/>
  <c r="J618" i="1"/>
  <c r="A617" i="1"/>
  <c r="C617" i="1"/>
  <c r="D617" i="1"/>
  <c r="F617" i="1"/>
  <c r="G617" i="1"/>
  <c r="J617" i="1"/>
  <c r="A616" i="1"/>
  <c r="C616" i="1"/>
  <c r="D616" i="1"/>
  <c r="F616" i="1"/>
  <c r="G616" i="1"/>
  <c r="J616" i="1"/>
  <c r="A615" i="1"/>
  <c r="D615" i="1"/>
  <c r="F615" i="1"/>
  <c r="G615" i="1"/>
  <c r="J615" i="1"/>
  <c r="A614" i="1"/>
  <c r="D614" i="1"/>
  <c r="F614" i="1"/>
  <c r="G614" i="1"/>
  <c r="J614" i="1"/>
  <c r="A613" i="1"/>
  <c r="C613" i="1"/>
  <c r="D613" i="1"/>
  <c r="F613" i="1"/>
  <c r="G613" i="1"/>
  <c r="J613" i="1"/>
  <c r="A612" i="1"/>
  <c r="C612" i="1"/>
  <c r="D612" i="1"/>
  <c r="E612" i="1"/>
  <c r="F612" i="1"/>
  <c r="G612" i="1"/>
  <c r="J612" i="1"/>
  <c r="A611" i="1"/>
  <c r="D611" i="1"/>
  <c r="F611" i="1"/>
  <c r="G611" i="1"/>
  <c r="J611" i="1"/>
  <c r="A610" i="1"/>
  <c r="C610" i="1"/>
  <c r="D610" i="1"/>
  <c r="E610" i="1"/>
  <c r="F610" i="1"/>
  <c r="G610" i="1"/>
  <c r="J610" i="1"/>
  <c r="A609" i="1"/>
  <c r="C609" i="1"/>
  <c r="D609" i="1"/>
  <c r="F609" i="1"/>
  <c r="G609" i="1"/>
  <c r="J609" i="1"/>
  <c r="A608" i="1"/>
  <c r="C608" i="1"/>
  <c r="D608" i="1"/>
  <c r="F608" i="1"/>
  <c r="G608" i="1"/>
  <c r="J608" i="1"/>
  <c r="A607" i="1"/>
  <c r="C607" i="1"/>
  <c r="D607" i="1"/>
  <c r="F607" i="1"/>
  <c r="G607" i="1"/>
  <c r="J607" i="1"/>
  <c r="A604" i="1"/>
  <c r="C604" i="1"/>
  <c r="D604" i="1"/>
  <c r="F604" i="1"/>
  <c r="G604" i="1"/>
  <c r="J604" i="1"/>
  <c r="L604" i="1"/>
  <c r="A606" i="1"/>
  <c r="C606" i="1"/>
  <c r="D606" i="1"/>
  <c r="E606" i="1"/>
  <c r="F606" i="1"/>
  <c r="G606" i="1"/>
  <c r="H606" i="1"/>
  <c r="J606" i="1"/>
  <c r="A605" i="1"/>
  <c r="D605" i="1"/>
  <c r="F605" i="1"/>
  <c r="G605" i="1"/>
  <c r="H605" i="1"/>
  <c r="I605" i="1"/>
  <c r="J605" i="1"/>
  <c r="A603" i="1"/>
  <c r="C603" i="1"/>
  <c r="D603" i="1"/>
  <c r="E603" i="1"/>
  <c r="F603" i="1"/>
  <c r="G603" i="1"/>
  <c r="H603" i="1"/>
  <c r="I603" i="1"/>
  <c r="J603" i="1"/>
  <c r="A602" i="1"/>
  <c r="C602" i="1"/>
  <c r="D602" i="1"/>
  <c r="E602" i="1"/>
  <c r="F602" i="1"/>
  <c r="G602" i="1"/>
  <c r="J602" i="1"/>
  <c r="A601" i="1"/>
  <c r="E601" i="1"/>
  <c r="F601" i="1"/>
  <c r="G601" i="1"/>
  <c r="J601" i="1"/>
  <c r="A600" i="1"/>
  <c r="C600" i="1"/>
  <c r="D600" i="1"/>
  <c r="F600" i="1"/>
  <c r="G600" i="1"/>
  <c r="J600" i="1"/>
  <c r="L600" i="1"/>
  <c r="A599" i="1"/>
  <c r="C599" i="1"/>
  <c r="E599" i="1"/>
  <c r="F599" i="1"/>
  <c r="G599" i="1"/>
  <c r="J599" i="1"/>
  <c r="A598" i="1"/>
  <c r="C598" i="1"/>
  <c r="D598" i="1"/>
  <c r="E598" i="1"/>
  <c r="F598" i="1"/>
  <c r="G598" i="1"/>
  <c r="J598" i="1"/>
  <c r="A597" i="1"/>
  <c r="D597" i="1"/>
  <c r="F597" i="1"/>
  <c r="G597" i="1"/>
  <c r="J597" i="1"/>
  <c r="A596" i="1"/>
  <c r="C596" i="1"/>
  <c r="D596" i="1"/>
  <c r="E596" i="1"/>
  <c r="F596" i="1"/>
  <c r="G596" i="1"/>
  <c r="J596" i="1"/>
  <c r="A595" i="1"/>
  <c r="C595" i="1"/>
  <c r="D595" i="1"/>
  <c r="F595" i="1"/>
  <c r="G595" i="1"/>
  <c r="J595" i="1"/>
  <c r="A594" i="1"/>
  <c r="C594" i="1"/>
  <c r="D594" i="1"/>
  <c r="F594" i="1"/>
  <c r="G594" i="1"/>
  <c r="J594" i="1"/>
  <c r="A593" i="1"/>
  <c r="D593" i="1"/>
  <c r="F593" i="1"/>
  <c r="G593" i="1"/>
  <c r="J593" i="1"/>
  <c r="A592" i="1"/>
  <c r="C592" i="1"/>
  <c r="D592" i="1"/>
  <c r="E592" i="1"/>
  <c r="F592" i="1"/>
  <c r="G592" i="1"/>
  <c r="J592" i="1"/>
  <c r="A591" i="1"/>
  <c r="C591" i="1"/>
  <c r="D591" i="1"/>
  <c r="F591" i="1"/>
  <c r="G591" i="1"/>
  <c r="J591" i="1"/>
  <c r="A590" i="1"/>
  <c r="C590" i="1"/>
  <c r="D590" i="1"/>
  <c r="F590" i="1"/>
  <c r="G590" i="1"/>
  <c r="J590" i="1"/>
  <c r="A589" i="1"/>
  <c r="C589" i="1"/>
  <c r="D589" i="1"/>
  <c r="F589" i="1"/>
  <c r="G589" i="1"/>
  <c r="J589" i="1"/>
  <c r="A588" i="1"/>
  <c r="C588" i="1"/>
  <c r="D588" i="1"/>
  <c r="F588" i="1"/>
  <c r="G588" i="1"/>
  <c r="J588" i="1"/>
  <c r="A587" i="1"/>
  <c r="C587" i="1"/>
  <c r="D587" i="1"/>
  <c r="F587" i="1"/>
  <c r="G587" i="1"/>
  <c r="J587" i="1"/>
  <c r="A586" i="1"/>
  <c r="C586" i="1"/>
  <c r="D586" i="1"/>
  <c r="F586" i="1"/>
  <c r="G586" i="1"/>
  <c r="J586" i="1"/>
  <c r="A585" i="1"/>
  <c r="C585" i="1"/>
  <c r="D585" i="1"/>
  <c r="E585" i="1"/>
  <c r="F585" i="1"/>
  <c r="G585" i="1"/>
  <c r="J585" i="1"/>
  <c r="A584" i="1"/>
  <c r="C584" i="1"/>
  <c r="D584" i="1"/>
  <c r="F584" i="1"/>
  <c r="G584" i="1"/>
  <c r="J584" i="1"/>
  <c r="A583" i="1"/>
  <c r="C583" i="1"/>
  <c r="D583" i="1"/>
  <c r="F583" i="1"/>
  <c r="G583" i="1"/>
  <c r="J583" i="1"/>
  <c r="A581" i="1"/>
  <c r="D581" i="1"/>
  <c r="F581" i="1"/>
  <c r="G581" i="1"/>
  <c r="J581" i="1"/>
  <c r="A582" i="1"/>
  <c r="E582" i="1"/>
  <c r="F582" i="1"/>
  <c r="G582" i="1"/>
  <c r="J582" i="1"/>
  <c r="A580" i="1"/>
  <c r="C580" i="1"/>
  <c r="D580" i="1"/>
  <c r="F580" i="1"/>
  <c r="G580" i="1"/>
  <c r="J580" i="1"/>
  <c r="A579" i="1"/>
  <c r="C579" i="1"/>
  <c r="D579" i="1"/>
  <c r="F579" i="1"/>
  <c r="G579" i="1"/>
  <c r="J579" i="1"/>
  <c r="A578" i="1"/>
  <c r="D578" i="1"/>
  <c r="F578" i="1"/>
  <c r="G578" i="1"/>
  <c r="J578" i="1"/>
  <c r="A576" i="1"/>
  <c r="C576" i="1"/>
  <c r="D576" i="1"/>
  <c r="F576" i="1"/>
  <c r="G576" i="1"/>
  <c r="J576" i="1"/>
  <c r="A577" i="1"/>
  <c r="C577" i="1"/>
  <c r="D577" i="1"/>
  <c r="E577" i="1"/>
  <c r="F577" i="1"/>
  <c r="G577" i="1"/>
  <c r="J577" i="1"/>
  <c r="A575" i="1"/>
  <c r="D575" i="1"/>
  <c r="F575" i="1"/>
  <c r="G575" i="1"/>
  <c r="J575" i="1"/>
  <c r="A574" i="1"/>
  <c r="C574" i="1"/>
  <c r="D574" i="1"/>
  <c r="F574" i="1"/>
  <c r="G574" i="1"/>
  <c r="J574" i="1"/>
  <c r="A573" i="1"/>
  <c r="C573" i="1"/>
  <c r="D573" i="1"/>
  <c r="F573" i="1"/>
  <c r="G573" i="1"/>
  <c r="J573" i="1"/>
  <c r="A572" i="1"/>
  <c r="C572" i="1"/>
  <c r="D572" i="1"/>
  <c r="F572" i="1"/>
  <c r="G572" i="1"/>
  <c r="J572" i="1"/>
  <c r="A571" i="1"/>
  <c r="C571" i="1"/>
  <c r="D571" i="1"/>
  <c r="F571" i="1"/>
  <c r="G571" i="1"/>
  <c r="J571" i="1"/>
  <c r="A570" i="1"/>
  <c r="C570" i="1"/>
  <c r="D570" i="1"/>
  <c r="F570" i="1"/>
  <c r="G570" i="1"/>
  <c r="J570" i="1"/>
  <c r="A569" i="1"/>
  <c r="C569" i="1"/>
  <c r="D569" i="1"/>
  <c r="E569" i="1"/>
  <c r="F569" i="1"/>
  <c r="G569" i="1"/>
  <c r="J569" i="1"/>
  <c r="A567" i="1"/>
  <c r="C567" i="1"/>
  <c r="D567" i="1"/>
  <c r="F567" i="1"/>
  <c r="G567" i="1"/>
  <c r="J567" i="1"/>
  <c r="A568" i="1"/>
  <c r="E568" i="1"/>
  <c r="F568" i="1"/>
  <c r="G568" i="1"/>
  <c r="J568" i="1"/>
  <c r="A566" i="1"/>
  <c r="D566" i="1"/>
  <c r="F566" i="1"/>
  <c r="G566" i="1"/>
  <c r="J566" i="1"/>
  <c r="A565" i="1"/>
  <c r="D565" i="1"/>
  <c r="F565" i="1"/>
  <c r="G565" i="1"/>
  <c r="J565" i="1"/>
  <c r="A564" i="1"/>
  <c r="C564" i="1"/>
  <c r="D564" i="1"/>
  <c r="F564" i="1"/>
  <c r="G564" i="1"/>
  <c r="J564" i="1"/>
  <c r="A563" i="1"/>
  <c r="C563" i="1"/>
  <c r="D563" i="1"/>
  <c r="F563" i="1"/>
  <c r="G563" i="1"/>
  <c r="J563" i="1"/>
  <c r="A562" i="1"/>
  <c r="C562" i="1"/>
  <c r="D562" i="1"/>
  <c r="F562" i="1"/>
  <c r="G562" i="1"/>
  <c r="J562" i="1"/>
  <c r="A561" i="1"/>
  <c r="C561" i="1"/>
  <c r="D561" i="1"/>
  <c r="F561" i="1"/>
  <c r="G561" i="1"/>
  <c r="J561" i="1"/>
  <c r="A560" i="1"/>
  <c r="C560" i="1"/>
  <c r="D560" i="1"/>
  <c r="F560" i="1"/>
  <c r="G560" i="1"/>
  <c r="J560" i="1"/>
  <c r="A559" i="1"/>
  <c r="D559" i="1"/>
  <c r="E559" i="1"/>
  <c r="F559" i="1"/>
  <c r="G559" i="1"/>
  <c r="J559" i="1"/>
  <c r="A558" i="1"/>
  <c r="C558" i="1"/>
  <c r="D558" i="1"/>
  <c r="F558" i="1"/>
  <c r="G558" i="1"/>
  <c r="H558" i="1"/>
  <c r="J558" i="1"/>
  <c r="A557" i="1"/>
  <c r="C557" i="1"/>
  <c r="D557" i="1"/>
  <c r="E557" i="1"/>
  <c r="F557" i="1"/>
  <c r="G557" i="1"/>
  <c r="J557" i="1"/>
  <c r="A556" i="1"/>
  <c r="C556" i="1"/>
  <c r="D556" i="1"/>
  <c r="F556" i="1"/>
  <c r="G556" i="1"/>
  <c r="J556" i="1"/>
  <c r="A555" i="1"/>
  <c r="D555" i="1"/>
  <c r="F555" i="1"/>
  <c r="G555" i="1"/>
  <c r="J555" i="1"/>
  <c r="A554" i="1"/>
  <c r="C554" i="1"/>
  <c r="D554" i="1"/>
  <c r="E554" i="1"/>
  <c r="F554" i="1"/>
  <c r="G554" i="1"/>
  <c r="J554" i="1"/>
  <c r="A553" i="1"/>
  <c r="D553" i="1"/>
  <c r="F553" i="1"/>
  <c r="G553" i="1"/>
  <c r="J553" i="1"/>
  <c r="A552" i="1"/>
  <c r="C552" i="1"/>
  <c r="D552" i="1"/>
  <c r="F552" i="1"/>
  <c r="G552" i="1"/>
  <c r="J552" i="1"/>
  <c r="A551" i="1"/>
  <c r="D551" i="1"/>
  <c r="E551" i="1"/>
  <c r="F551" i="1"/>
  <c r="G551" i="1"/>
  <c r="J551" i="1"/>
  <c r="A550" i="1"/>
  <c r="D550" i="1"/>
  <c r="F550" i="1"/>
  <c r="G550" i="1"/>
  <c r="J550" i="1"/>
  <c r="A549" i="1"/>
  <c r="C549" i="1"/>
  <c r="D549" i="1"/>
  <c r="F549" i="1"/>
  <c r="G549" i="1"/>
  <c r="J549" i="1"/>
  <c r="A548" i="1"/>
  <c r="C548" i="1"/>
  <c r="D548" i="1"/>
  <c r="E548" i="1"/>
  <c r="F548" i="1"/>
  <c r="G548" i="1"/>
  <c r="J548" i="1"/>
  <c r="A547" i="1"/>
  <c r="C547" i="1"/>
  <c r="D547" i="1"/>
  <c r="F547" i="1"/>
  <c r="G547" i="1"/>
  <c r="J547" i="1"/>
  <c r="A546" i="1"/>
  <c r="C546" i="1"/>
  <c r="D546" i="1"/>
  <c r="E546" i="1"/>
  <c r="F546" i="1"/>
  <c r="G546" i="1"/>
  <c r="J546" i="1"/>
  <c r="A545" i="1"/>
  <c r="D545" i="1"/>
  <c r="F545" i="1"/>
  <c r="G545" i="1"/>
  <c r="J545" i="1"/>
  <c r="A544" i="1"/>
  <c r="C544" i="1"/>
  <c r="D544" i="1"/>
  <c r="E544" i="1"/>
  <c r="F544" i="1"/>
  <c r="G544" i="1"/>
  <c r="J544" i="1"/>
  <c r="A543" i="1"/>
  <c r="C543" i="1"/>
  <c r="D543" i="1"/>
  <c r="F543" i="1"/>
  <c r="G543" i="1"/>
  <c r="J543" i="1"/>
  <c r="A542" i="1"/>
  <c r="C542" i="1"/>
  <c r="D542" i="1"/>
  <c r="F542" i="1"/>
  <c r="G542" i="1"/>
  <c r="J542" i="1"/>
  <c r="A541" i="1"/>
  <c r="C541" i="1"/>
  <c r="D541" i="1"/>
  <c r="F541" i="1"/>
  <c r="G541" i="1"/>
  <c r="J541" i="1"/>
  <c r="A540" i="1"/>
  <c r="D540" i="1"/>
  <c r="F540" i="1"/>
  <c r="G540" i="1"/>
  <c r="J540" i="1"/>
  <c r="A539" i="1"/>
  <c r="C539" i="1"/>
  <c r="D539" i="1"/>
  <c r="F539" i="1"/>
  <c r="G539" i="1"/>
  <c r="J539" i="1"/>
  <c r="A538" i="1"/>
  <c r="C538" i="1"/>
  <c r="D538" i="1"/>
  <c r="E538" i="1"/>
  <c r="F538" i="1"/>
  <c r="G538" i="1"/>
  <c r="J538" i="1"/>
  <c r="A537" i="1"/>
  <c r="C537" i="1"/>
  <c r="D537" i="1"/>
  <c r="F537" i="1"/>
  <c r="G537" i="1"/>
  <c r="J537" i="1"/>
  <c r="A536" i="1"/>
  <c r="C536" i="1"/>
  <c r="D536" i="1"/>
  <c r="F536" i="1"/>
  <c r="G536" i="1"/>
  <c r="J536" i="1"/>
  <c r="A535" i="1"/>
  <c r="C535" i="1"/>
  <c r="D535" i="1"/>
  <c r="F535" i="1"/>
  <c r="G535" i="1"/>
  <c r="H535" i="1"/>
  <c r="J535" i="1"/>
  <c r="A534" i="1"/>
  <c r="C534" i="1"/>
  <c r="D534" i="1"/>
  <c r="F534" i="1"/>
  <c r="G534" i="1"/>
  <c r="H534" i="1"/>
  <c r="J534" i="1"/>
  <c r="A533" i="1"/>
  <c r="C533" i="1"/>
  <c r="D533" i="1"/>
  <c r="F533" i="1"/>
  <c r="G533" i="1"/>
  <c r="H533" i="1"/>
  <c r="J533" i="1"/>
  <c r="A532" i="1"/>
  <c r="C532" i="1"/>
  <c r="D532" i="1"/>
  <c r="F532" i="1"/>
  <c r="G532" i="1"/>
  <c r="H532" i="1"/>
  <c r="J532" i="1"/>
  <c r="A531" i="1"/>
  <c r="C531" i="1"/>
  <c r="D531" i="1"/>
  <c r="F531" i="1"/>
  <c r="G531" i="1"/>
  <c r="H531" i="1"/>
  <c r="J531" i="1"/>
  <c r="A530" i="1"/>
  <c r="C530" i="1"/>
  <c r="D530" i="1"/>
  <c r="F530" i="1"/>
  <c r="G530" i="1"/>
  <c r="H530" i="1"/>
  <c r="J530" i="1"/>
  <c r="A529" i="1"/>
  <c r="C529" i="1"/>
  <c r="D529" i="1"/>
  <c r="F529" i="1"/>
  <c r="G529" i="1"/>
  <c r="H529" i="1"/>
  <c r="J529" i="1"/>
  <c r="A528" i="1"/>
  <c r="C528" i="1"/>
  <c r="D528" i="1"/>
  <c r="F528" i="1"/>
  <c r="G528" i="1"/>
  <c r="H528" i="1"/>
  <c r="J528" i="1"/>
  <c r="A527" i="1"/>
  <c r="C527" i="1"/>
  <c r="D527" i="1"/>
  <c r="F527" i="1"/>
  <c r="G527" i="1"/>
  <c r="J527" i="1"/>
  <c r="L527" i="1"/>
  <c r="A526" i="1"/>
  <c r="C526" i="1"/>
  <c r="D526" i="1"/>
  <c r="E526" i="1"/>
  <c r="F526" i="1"/>
  <c r="G526" i="1"/>
  <c r="J526" i="1"/>
  <c r="A525" i="1"/>
  <c r="C525" i="1"/>
  <c r="D525" i="1"/>
  <c r="F525" i="1"/>
  <c r="G525" i="1"/>
  <c r="J525" i="1"/>
  <c r="A524" i="1"/>
  <c r="C524" i="1"/>
  <c r="D524" i="1"/>
  <c r="F524" i="1"/>
  <c r="G524" i="1"/>
  <c r="J524" i="1"/>
  <c r="A523" i="1"/>
  <c r="C523" i="1"/>
  <c r="D523" i="1"/>
  <c r="F523" i="1"/>
  <c r="G523" i="1"/>
  <c r="J523" i="1"/>
  <c r="A522" i="1"/>
  <c r="C522" i="1"/>
  <c r="D522" i="1"/>
  <c r="F522" i="1"/>
  <c r="G522" i="1"/>
  <c r="J522" i="1"/>
  <c r="A521" i="1"/>
  <c r="C521" i="1"/>
  <c r="D521" i="1"/>
  <c r="F521" i="1"/>
  <c r="G521" i="1"/>
  <c r="J521" i="1"/>
  <c r="A519" i="1"/>
  <c r="C519" i="1"/>
  <c r="D519" i="1"/>
  <c r="F519" i="1"/>
  <c r="G519" i="1"/>
  <c r="J519" i="1"/>
  <c r="A520" i="1"/>
  <c r="D520" i="1"/>
  <c r="E520" i="1"/>
  <c r="F520" i="1"/>
  <c r="G520" i="1"/>
  <c r="J520" i="1"/>
  <c r="A518" i="1"/>
  <c r="C518" i="1"/>
  <c r="D518" i="1"/>
  <c r="F518" i="1"/>
  <c r="G518" i="1"/>
  <c r="H518" i="1"/>
  <c r="J518" i="1"/>
  <c r="A516" i="1"/>
  <c r="C516" i="1"/>
  <c r="D516" i="1"/>
  <c r="F516" i="1"/>
  <c r="G516" i="1"/>
  <c r="H516" i="1"/>
  <c r="J516" i="1"/>
  <c r="A517" i="1"/>
  <c r="C517" i="1"/>
  <c r="D517" i="1"/>
  <c r="F517" i="1"/>
  <c r="G517" i="1"/>
  <c r="J517" i="1"/>
  <c r="L517" i="1"/>
  <c r="A515" i="1"/>
  <c r="C515" i="1"/>
  <c r="D515" i="1"/>
  <c r="F515" i="1"/>
  <c r="G515" i="1"/>
  <c r="H515" i="1"/>
  <c r="J515" i="1"/>
  <c r="A514" i="1"/>
  <c r="C514" i="1"/>
  <c r="D514" i="1"/>
  <c r="F514" i="1"/>
  <c r="G514" i="1"/>
  <c r="H514" i="1"/>
  <c r="J514" i="1"/>
  <c r="A513" i="1"/>
  <c r="C513" i="1"/>
  <c r="D513" i="1"/>
  <c r="F513" i="1"/>
  <c r="G513" i="1"/>
  <c r="H513" i="1"/>
  <c r="J513" i="1"/>
  <c r="A512" i="1"/>
  <c r="C512" i="1"/>
  <c r="D512" i="1"/>
  <c r="E512" i="1"/>
  <c r="F512" i="1"/>
  <c r="G512" i="1"/>
  <c r="J512" i="1"/>
  <c r="A511" i="1"/>
  <c r="C511" i="1"/>
  <c r="D511" i="1"/>
  <c r="F511" i="1"/>
  <c r="G511" i="1"/>
  <c r="H511" i="1"/>
  <c r="J511" i="1"/>
  <c r="A509" i="1"/>
  <c r="C509" i="1"/>
  <c r="D509" i="1"/>
  <c r="F509" i="1"/>
  <c r="G509" i="1"/>
  <c r="J509" i="1"/>
  <c r="A510" i="1"/>
  <c r="C510" i="1"/>
  <c r="D510" i="1"/>
  <c r="F510" i="1"/>
  <c r="G510" i="1"/>
  <c r="H510" i="1"/>
  <c r="I510" i="1"/>
  <c r="J510" i="1"/>
  <c r="A508" i="1"/>
  <c r="C508" i="1"/>
  <c r="D508" i="1"/>
  <c r="F508" i="1"/>
  <c r="G508" i="1"/>
  <c r="J508" i="1"/>
  <c r="A507" i="1"/>
  <c r="C507" i="1"/>
  <c r="D507" i="1"/>
  <c r="E507" i="1"/>
  <c r="F507" i="1"/>
  <c r="G507" i="1"/>
  <c r="J507" i="1"/>
  <c r="A506" i="1"/>
  <c r="D506" i="1"/>
  <c r="F506" i="1"/>
  <c r="G506" i="1"/>
  <c r="J506" i="1"/>
  <c r="A505" i="1"/>
  <c r="C505" i="1"/>
  <c r="D505" i="1"/>
  <c r="E505" i="1"/>
  <c r="F505" i="1"/>
  <c r="G505" i="1"/>
  <c r="J505" i="1"/>
  <c r="A504" i="1"/>
  <c r="C504" i="1"/>
  <c r="D504" i="1"/>
  <c r="F504" i="1"/>
  <c r="G504" i="1"/>
  <c r="J504" i="1"/>
  <c r="A503" i="1"/>
  <c r="C503" i="1"/>
  <c r="D503" i="1"/>
  <c r="E503" i="1"/>
  <c r="F503" i="1"/>
  <c r="G503" i="1"/>
  <c r="J503" i="1"/>
  <c r="A502" i="1"/>
  <c r="C502" i="1"/>
  <c r="D502" i="1"/>
  <c r="F502" i="1"/>
  <c r="G502" i="1"/>
  <c r="J502" i="1"/>
  <c r="A501" i="1"/>
  <c r="C501" i="1"/>
  <c r="D501" i="1"/>
  <c r="F501" i="1"/>
  <c r="G501" i="1"/>
  <c r="J501" i="1"/>
  <c r="A500" i="1"/>
  <c r="C500" i="1"/>
  <c r="D500" i="1"/>
  <c r="E500" i="1"/>
  <c r="F500" i="1"/>
  <c r="G500" i="1"/>
  <c r="J500" i="1"/>
  <c r="A499" i="1"/>
  <c r="C499" i="1"/>
  <c r="D499" i="1"/>
  <c r="F499" i="1"/>
  <c r="G499" i="1"/>
  <c r="J499" i="1"/>
  <c r="L499" i="1"/>
  <c r="A498" i="1"/>
  <c r="D498" i="1"/>
  <c r="F498" i="1"/>
  <c r="G498" i="1"/>
  <c r="J498" i="1"/>
  <c r="A497" i="1"/>
  <c r="C497" i="1"/>
  <c r="D497" i="1"/>
  <c r="F497" i="1"/>
  <c r="G497" i="1"/>
  <c r="J497" i="1"/>
  <c r="A496" i="1"/>
  <c r="D496" i="1"/>
  <c r="F496" i="1"/>
  <c r="G496" i="1"/>
  <c r="J496" i="1"/>
  <c r="A492" i="1"/>
  <c r="C492" i="1"/>
  <c r="D492" i="1"/>
  <c r="E492" i="1"/>
  <c r="F492" i="1"/>
  <c r="G492" i="1"/>
  <c r="J492" i="1"/>
  <c r="A494" i="1"/>
  <c r="C494" i="1"/>
  <c r="D494" i="1"/>
  <c r="F494" i="1"/>
  <c r="G494" i="1"/>
  <c r="J494" i="1"/>
  <c r="A495" i="1"/>
  <c r="D495" i="1"/>
  <c r="F495" i="1"/>
  <c r="G495" i="1"/>
  <c r="J495" i="1"/>
  <c r="A493" i="1"/>
  <c r="D493" i="1"/>
  <c r="F493" i="1"/>
  <c r="G493" i="1"/>
  <c r="J493" i="1"/>
  <c r="A490" i="1"/>
  <c r="C490" i="1"/>
  <c r="D490" i="1"/>
  <c r="F490" i="1"/>
  <c r="G490" i="1"/>
  <c r="J490" i="1"/>
  <c r="A491" i="1"/>
  <c r="D491" i="1"/>
  <c r="F491" i="1"/>
  <c r="G491" i="1"/>
  <c r="J491" i="1"/>
  <c r="A489" i="1"/>
  <c r="D489" i="1"/>
  <c r="F489" i="1"/>
  <c r="G489" i="1"/>
  <c r="J489" i="1"/>
  <c r="A488" i="1"/>
  <c r="C488" i="1"/>
  <c r="D488" i="1"/>
  <c r="F488" i="1"/>
  <c r="G488" i="1"/>
  <c r="J488" i="1"/>
  <c r="A487" i="1"/>
  <c r="C487" i="1"/>
  <c r="D487" i="1"/>
  <c r="F487" i="1"/>
  <c r="G487" i="1"/>
  <c r="J487" i="1"/>
  <c r="A486" i="1"/>
  <c r="C486" i="1"/>
  <c r="D486" i="1"/>
  <c r="F486" i="1"/>
  <c r="G486" i="1"/>
  <c r="J486" i="1"/>
  <c r="A485" i="1"/>
  <c r="C485" i="1"/>
  <c r="D485" i="1"/>
  <c r="F485" i="1"/>
  <c r="G485" i="1"/>
  <c r="J485" i="1"/>
  <c r="A484" i="1"/>
  <c r="C484" i="1"/>
  <c r="D484" i="1"/>
  <c r="F484" i="1"/>
  <c r="G484" i="1"/>
  <c r="J484" i="1"/>
  <c r="A483" i="1"/>
  <c r="C483" i="1"/>
  <c r="D483" i="1"/>
  <c r="F483" i="1"/>
  <c r="G483" i="1"/>
  <c r="J483" i="1"/>
  <c r="A481" i="1"/>
  <c r="C481" i="1"/>
  <c r="D481" i="1"/>
  <c r="F481" i="1"/>
  <c r="G481" i="1"/>
  <c r="J481" i="1"/>
  <c r="A482" i="1"/>
  <c r="C482" i="1"/>
  <c r="D482" i="1"/>
  <c r="F482" i="1"/>
  <c r="G482" i="1"/>
  <c r="J482" i="1"/>
  <c r="L482" i="1"/>
  <c r="A480" i="1"/>
  <c r="C480" i="1"/>
  <c r="D480" i="1"/>
  <c r="F480" i="1"/>
  <c r="G480" i="1"/>
  <c r="J480" i="1"/>
  <c r="A479" i="1"/>
  <c r="C479" i="1"/>
  <c r="D479" i="1"/>
  <c r="F479" i="1"/>
  <c r="G479" i="1"/>
  <c r="H479" i="1"/>
  <c r="I479" i="1"/>
  <c r="J479" i="1"/>
  <c r="A478" i="1"/>
  <c r="D478" i="1"/>
  <c r="F478" i="1"/>
  <c r="G478" i="1"/>
  <c r="J478" i="1"/>
  <c r="A477" i="1"/>
  <c r="C477" i="1"/>
  <c r="D477" i="1"/>
  <c r="E477" i="1"/>
  <c r="F477" i="1"/>
  <c r="G477" i="1"/>
  <c r="J477" i="1"/>
  <c r="A476" i="1"/>
  <c r="C476" i="1"/>
  <c r="D476" i="1"/>
  <c r="E476" i="1"/>
  <c r="F476" i="1"/>
  <c r="G476" i="1"/>
  <c r="J476" i="1"/>
  <c r="A475" i="1"/>
  <c r="C475" i="1"/>
  <c r="D475" i="1"/>
  <c r="F475" i="1"/>
  <c r="G475" i="1"/>
  <c r="J475" i="1"/>
  <c r="A474" i="1"/>
  <c r="C474" i="1"/>
  <c r="D474" i="1"/>
  <c r="F474" i="1"/>
  <c r="G474" i="1"/>
  <c r="J474" i="1"/>
  <c r="A473" i="1"/>
  <c r="D473" i="1"/>
  <c r="F473" i="1"/>
  <c r="G473" i="1"/>
  <c r="J473" i="1"/>
  <c r="A472" i="1"/>
  <c r="C472" i="1"/>
  <c r="D472" i="1"/>
  <c r="E472" i="1"/>
  <c r="F472" i="1"/>
  <c r="G472" i="1"/>
  <c r="J472" i="1"/>
  <c r="A471" i="1"/>
  <c r="D471" i="1"/>
  <c r="F471" i="1"/>
  <c r="G471" i="1"/>
  <c r="J471" i="1"/>
  <c r="A470" i="1"/>
  <c r="C470" i="1"/>
  <c r="D470" i="1"/>
  <c r="E470" i="1"/>
  <c r="F470" i="1"/>
  <c r="G470" i="1"/>
  <c r="J470" i="1"/>
  <c r="A469" i="1"/>
  <c r="C469" i="1"/>
  <c r="D469" i="1"/>
  <c r="F469" i="1"/>
  <c r="G469" i="1"/>
  <c r="J469" i="1"/>
  <c r="A468" i="1"/>
  <c r="C468" i="1"/>
  <c r="D468" i="1"/>
  <c r="F468" i="1"/>
  <c r="G468" i="1"/>
  <c r="J468" i="1"/>
  <c r="A467" i="1"/>
  <c r="C467" i="1"/>
  <c r="D467" i="1"/>
  <c r="E467" i="1"/>
  <c r="F467" i="1"/>
  <c r="G467" i="1"/>
  <c r="J467" i="1"/>
  <c r="A466" i="1"/>
  <c r="C466" i="1"/>
  <c r="D466" i="1"/>
  <c r="F466" i="1"/>
  <c r="G466" i="1"/>
  <c r="J466" i="1"/>
  <c r="A465" i="1"/>
  <c r="C465" i="1"/>
  <c r="D465" i="1"/>
  <c r="F465" i="1"/>
  <c r="G465" i="1"/>
  <c r="J465" i="1"/>
  <c r="A464" i="1"/>
  <c r="C464" i="1"/>
  <c r="D464" i="1"/>
  <c r="F464" i="1"/>
  <c r="G464" i="1"/>
  <c r="J464" i="1"/>
  <c r="A463" i="1"/>
  <c r="C463" i="1"/>
  <c r="D463" i="1"/>
  <c r="F463" i="1"/>
  <c r="G463" i="1"/>
  <c r="J463" i="1"/>
  <c r="A462" i="1"/>
  <c r="C462" i="1"/>
  <c r="D462" i="1"/>
  <c r="F462" i="1"/>
  <c r="G462" i="1"/>
  <c r="J462" i="1"/>
  <c r="A461" i="1"/>
  <c r="C461" i="1"/>
  <c r="D461" i="1"/>
  <c r="F461" i="1"/>
  <c r="G461" i="1"/>
  <c r="J461" i="1"/>
  <c r="A460" i="1"/>
  <c r="C460" i="1"/>
  <c r="D460" i="1"/>
  <c r="E460" i="1"/>
  <c r="F460" i="1"/>
  <c r="G460" i="1"/>
  <c r="J460" i="1"/>
  <c r="A459" i="1"/>
  <c r="C459" i="1"/>
  <c r="D459" i="1"/>
  <c r="F459" i="1"/>
  <c r="G459" i="1"/>
  <c r="J459" i="1"/>
  <c r="A458" i="1"/>
  <c r="C458" i="1"/>
  <c r="D458" i="1"/>
  <c r="E458" i="1"/>
  <c r="F458" i="1"/>
  <c r="G458" i="1"/>
  <c r="J458" i="1"/>
  <c r="A457" i="1"/>
  <c r="C457" i="1"/>
  <c r="D457" i="1"/>
  <c r="F457" i="1"/>
  <c r="G457" i="1"/>
  <c r="J457" i="1"/>
  <c r="A456" i="1"/>
  <c r="C456" i="1"/>
  <c r="D456" i="1"/>
  <c r="F456" i="1"/>
  <c r="G456" i="1"/>
  <c r="J456" i="1"/>
  <c r="A455" i="1"/>
  <c r="D455" i="1"/>
  <c r="F455" i="1"/>
  <c r="G455" i="1"/>
  <c r="J455" i="1"/>
  <c r="A454" i="1"/>
  <c r="C454" i="1"/>
  <c r="D454" i="1"/>
  <c r="E454" i="1"/>
  <c r="F454" i="1"/>
  <c r="G454" i="1"/>
  <c r="J454" i="1"/>
  <c r="A453" i="1"/>
  <c r="C453" i="1"/>
  <c r="D453" i="1"/>
  <c r="F453" i="1"/>
  <c r="G453" i="1"/>
  <c r="J453" i="1"/>
  <c r="A451" i="1"/>
  <c r="C451" i="1"/>
  <c r="D451" i="1"/>
  <c r="E451" i="1"/>
  <c r="F451" i="1"/>
  <c r="G451" i="1"/>
  <c r="J451" i="1"/>
  <c r="A452" i="1"/>
  <c r="C452" i="1"/>
  <c r="D452" i="1"/>
  <c r="F452" i="1"/>
  <c r="G452" i="1"/>
  <c r="J452" i="1"/>
  <c r="A450" i="1"/>
  <c r="C450" i="1"/>
  <c r="D450" i="1"/>
  <c r="F450" i="1"/>
  <c r="G450" i="1"/>
  <c r="J450" i="1"/>
  <c r="A449" i="1"/>
  <c r="C449" i="1"/>
  <c r="D449" i="1"/>
  <c r="F449" i="1"/>
  <c r="G449" i="1"/>
  <c r="J449" i="1"/>
  <c r="A448" i="1"/>
  <c r="C448" i="1"/>
  <c r="D448" i="1"/>
  <c r="E448" i="1"/>
  <c r="F448" i="1"/>
  <c r="G448" i="1"/>
  <c r="J448" i="1"/>
  <c r="A447" i="1"/>
  <c r="C447" i="1"/>
  <c r="D447" i="1"/>
  <c r="F447" i="1"/>
  <c r="G447" i="1"/>
  <c r="J447" i="1"/>
  <c r="A446" i="1"/>
  <c r="C446" i="1"/>
  <c r="D446" i="1"/>
  <c r="E446" i="1"/>
  <c r="F446" i="1"/>
  <c r="G446" i="1"/>
  <c r="J446" i="1"/>
  <c r="A445" i="1"/>
  <c r="D445" i="1"/>
  <c r="F445" i="1"/>
  <c r="G445" i="1"/>
  <c r="J445" i="1"/>
  <c r="A444" i="1"/>
  <c r="D444" i="1"/>
  <c r="F444" i="1"/>
  <c r="G444" i="1"/>
  <c r="J444" i="1"/>
  <c r="A443" i="1"/>
  <c r="D443" i="1"/>
  <c r="F443" i="1"/>
  <c r="G443" i="1"/>
  <c r="J443" i="1"/>
  <c r="A442" i="1"/>
  <c r="C442" i="1"/>
  <c r="D442" i="1"/>
  <c r="F442" i="1"/>
  <c r="G442" i="1"/>
  <c r="J442" i="1"/>
  <c r="A441" i="1"/>
  <c r="C441" i="1"/>
  <c r="D441" i="1"/>
  <c r="F441" i="1"/>
  <c r="G441" i="1"/>
  <c r="J441" i="1"/>
  <c r="A440" i="1"/>
  <c r="D440" i="1"/>
  <c r="F440" i="1"/>
  <c r="G440" i="1"/>
  <c r="J440" i="1"/>
  <c r="A438" i="1"/>
  <c r="C438" i="1"/>
  <c r="D438" i="1"/>
  <c r="F438" i="1"/>
  <c r="G438" i="1"/>
  <c r="J438" i="1"/>
  <c r="A439" i="1"/>
  <c r="D439" i="1"/>
  <c r="F439" i="1"/>
  <c r="G439" i="1"/>
  <c r="J439" i="1"/>
  <c r="A437" i="1"/>
  <c r="C437" i="1"/>
  <c r="D437" i="1"/>
  <c r="F437" i="1"/>
  <c r="G437" i="1"/>
  <c r="J437" i="1"/>
  <c r="A436" i="1"/>
  <c r="C436" i="1"/>
  <c r="D436" i="1"/>
  <c r="F436" i="1"/>
  <c r="G436" i="1"/>
  <c r="J436" i="1"/>
  <c r="A435" i="1"/>
  <c r="C435" i="1"/>
  <c r="D435" i="1"/>
  <c r="F435" i="1"/>
  <c r="G435" i="1"/>
  <c r="J435" i="1"/>
  <c r="A434" i="1"/>
  <c r="C434" i="1"/>
  <c r="D434" i="1"/>
  <c r="F434" i="1"/>
  <c r="G434" i="1"/>
  <c r="J434" i="1"/>
  <c r="A433" i="1"/>
  <c r="D433" i="1"/>
  <c r="F433" i="1"/>
  <c r="G433" i="1"/>
  <c r="J433" i="1"/>
  <c r="A432" i="1"/>
  <c r="C432" i="1"/>
  <c r="D432" i="1"/>
  <c r="F432" i="1"/>
  <c r="G432" i="1"/>
  <c r="J432" i="1"/>
  <c r="A431" i="1"/>
  <c r="D431" i="1"/>
  <c r="F431" i="1"/>
  <c r="G431" i="1"/>
  <c r="J431" i="1"/>
  <c r="A430" i="1"/>
  <c r="C430" i="1"/>
  <c r="D430" i="1"/>
  <c r="E430" i="1"/>
  <c r="F430" i="1"/>
  <c r="G430" i="1"/>
  <c r="J430" i="1"/>
  <c r="A429" i="1"/>
  <c r="C429" i="1"/>
  <c r="D429" i="1"/>
  <c r="F429" i="1"/>
  <c r="G429" i="1"/>
  <c r="J429" i="1"/>
  <c r="A428" i="1"/>
  <c r="C428" i="1"/>
  <c r="D428" i="1"/>
  <c r="E428" i="1"/>
  <c r="F428" i="1"/>
  <c r="G428" i="1"/>
  <c r="J428" i="1"/>
  <c r="A427" i="1"/>
  <c r="C427" i="1"/>
  <c r="D427" i="1"/>
  <c r="F427" i="1"/>
  <c r="G427" i="1"/>
  <c r="J427" i="1"/>
  <c r="A426" i="1"/>
  <c r="C426" i="1"/>
  <c r="D426" i="1"/>
  <c r="F426" i="1"/>
  <c r="G426" i="1"/>
  <c r="J426" i="1"/>
  <c r="A424" i="1"/>
  <c r="C424" i="1"/>
  <c r="D424" i="1"/>
  <c r="F424" i="1"/>
  <c r="G424" i="1"/>
  <c r="J424" i="1"/>
  <c r="A425" i="1"/>
  <c r="C425" i="1"/>
  <c r="D425" i="1"/>
  <c r="F425" i="1"/>
  <c r="G425" i="1"/>
  <c r="J425" i="1"/>
  <c r="A423" i="1"/>
  <c r="C423" i="1"/>
  <c r="D423" i="1"/>
  <c r="F423" i="1"/>
  <c r="G423" i="1"/>
  <c r="J423" i="1"/>
  <c r="A422" i="1"/>
  <c r="C422" i="1"/>
  <c r="D422" i="1"/>
  <c r="F422" i="1"/>
  <c r="G422" i="1"/>
  <c r="J422" i="1"/>
  <c r="A421" i="1"/>
  <c r="C421" i="1"/>
  <c r="D421" i="1"/>
  <c r="F421" i="1"/>
  <c r="G421" i="1"/>
  <c r="J421" i="1"/>
  <c r="A420" i="1"/>
  <c r="C420" i="1"/>
  <c r="D420" i="1"/>
  <c r="F420" i="1"/>
  <c r="G420" i="1"/>
  <c r="J420" i="1"/>
  <c r="A419" i="1"/>
  <c r="C419" i="1"/>
  <c r="D419" i="1"/>
  <c r="F419" i="1"/>
  <c r="G419" i="1"/>
  <c r="H419" i="1"/>
  <c r="I419" i="1"/>
  <c r="J419" i="1"/>
  <c r="A417" i="1"/>
  <c r="C417" i="1"/>
  <c r="D417" i="1"/>
  <c r="F417" i="1"/>
  <c r="G417" i="1"/>
  <c r="J417" i="1"/>
  <c r="A418" i="1"/>
  <c r="E418" i="1"/>
  <c r="F418" i="1"/>
  <c r="G418" i="1"/>
  <c r="J418" i="1"/>
  <c r="A416" i="1"/>
  <c r="C416" i="1"/>
  <c r="D416" i="1"/>
  <c r="F416" i="1"/>
  <c r="G416" i="1"/>
  <c r="J416" i="1"/>
  <c r="A415" i="1"/>
  <c r="C415" i="1"/>
  <c r="D415" i="1"/>
  <c r="F415" i="1"/>
  <c r="G415" i="1"/>
  <c r="J415" i="1"/>
  <c r="A413" i="1"/>
  <c r="C413" i="1"/>
  <c r="D413" i="1"/>
  <c r="F413" i="1"/>
  <c r="G413" i="1"/>
  <c r="J413" i="1"/>
  <c r="A414" i="1"/>
  <c r="C414" i="1"/>
  <c r="D414" i="1"/>
  <c r="F414" i="1"/>
  <c r="G414" i="1"/>
  <c r="J414" i="1"/>
  <c r="A412" i="1"/>
  <c r="C412" i="1"/>
  <c r="D412" i="1"/>
  <c r="F412" i="1"/>
  <c r="G412" i="1"/>
  <c r="J412" i="1"/>
  <c r="A411" i="1"/>
  <c r="D411" i="1"/>
  <c r="F411" i="1"/>
  <c r="G411" i="1"/>
  <c r="J411" i="1"/>
  <c r="A410" i="1"/>
  <c r="C410" i="1"/>
  <c r="D410" i="1"/>
  <c r="F410" i="1"/>
  <c r="G410" i="1"/>
  <c r="J410" i="1"/>
  <c r="A409" i="1"/>
  <c r="C409" i="1"/>
  <c r="D409" i="1"/>
  <c r="E409" i="1"/>
  <c r="F409" i="1"/>
  <c r="G409" i="1"/>
  <c r="J409" i="1"/>
  <c r="A408" i="1"/>
  <c r="D408" i="1"/>
  <c r="F408" i="1"/>
  <c r="G408" i="1"/>
  <c r="J408" i="1"/>
  <c r="A407" i="1"/>
  <c r="C407" i="1"/>
  <c r="D407" i="1"/>
  <c r="F407" i="1"/>
  <c r="G407" i="1"/>
  <c r="J407" i="1"/>
  <c r="A406" i="1"/>
  <c r="D406" i="1"/>
  <c r="E406" i="1"/>
  <c r="F406" i="1"/>
  <c r="G406" i="1"/>
  <c r="J406" i="1"/>
  <c r="A405" i="1"/>
  <c r="C405" i="1"/>
  <c r="D405" i="1"/>
  <c r="F405" i="1"/>
  <c r="G405" i="1"/>
  <c r="J405" i="1"/>
  <c r="A404" i="1"/>
  <c r="C404" i="1"/>
  <c r="D404" i="1"/>
  <c r="F404" i="1"/>
  <c r="G404" i="1"/>
  <c r="J404" i="1"/>
  <c r="A403" i="1"/>
  <c r="D403" i="1"/>
  <c r="E403" i="1"/>
  <c r="F403" i="1"/>
  <c r="G403" i="1"/>
  <c r="J403" i="1"/>
  <c r="A402" i="1"/>
  <c r="D402" i="1"/>
  <c r="F402" i="1"/>
  <c r="G402" i="1"/>
  <c r="J402" i="1"/>
  <c r="A401" i="1"/>
  <c r="D401" i="1"/>
  <c r="F401" i="1"/>
  <c r="G401" i="1"/>
  <c r="J401" i="1"/>
  <c r="A400" i="1"/>
  <c r="C400" i="1"/>
  <c r="D400" i="1"/>
  <c r="E400" i="1"/>
  <c r="F400" i="1"/>
  <c r="G400" i="1"/>
  <c r="J400" i="1"/>
  <c r="A399" i="1"/>
  <c r="C399" i="1"/>
  <c r="D399" i="1"/>
  <c r="F399" i="1"/>
  <c r="G399" i="1"/>
  <c r="J399" i="1"/>
  <c r="A396" i="1"/>
  <c r="C396" i="1"/>
  <c r="D396" i="1"/>
  <c r="F396" i="1"/>
  <c r="G396" i="1"/>
  <c r="J396" i="1"/>
  <c r="A397" i="1"/>
  <c r="C397" i="1"/>
  <c r="D397" i="1"/>
  <c r="F397" i="1"/>
  <c r="G397" i="1"/>
  <c r="J397" i="1"/>
  <c r="A398" i="1"/>
  <c r="D398" i="1"/>
  <c r="F398" i="1"/>
  <c r="G398" i="1"/>
  <c r="J398" i="1"/>
  <c r="A395" i="1"/>
  <c r="C395" i="1"/>
  <c r="D395" i="1"/>
  <c r="F395" i="1"/>
  <c r="G395" i="1"/>
  <c r="J395" i="1"/>
  <c r="A394" i="1"/>
  <c r="C394" i="1"/>
  <c r="D394" i="1"/>
  <c r="F394" i="1"/>
  <c r="G394" i="1"/>
  <c r="J394" i="1"/>
  <c r="A393" i="1"/>
  <c r="D393" i="1"/>
  <c r="F393" i="1"/>
  <c r="G393" i="1"/>
  <c r="J393" i="1"/>
  <c r="A392" i="1"/>
  <c r="D392" i="1"/>
  <c r="E392" i="1"/>
  <c r="F392" i="1"/>
  <c r="G392" i="1"/>
  <c r="J392" i="1"/>
  <c r="A391" i="1"/>
  <c r="C391" i="1"/>
  <c r="D391" i="1"/>
  <c r="F391" i="1"/>
  <c r="G391" i="1"/>
  <c r="J391" i="1"/>
  <c r="A390" i="1"/>
  <c r="C390" i="1"/>
  <c r="D390" i="1"/>
  <c r="F390" i="1"/>
  <c r="G390" i="1"/>
  <c r="J390" i="1"/>
  <c r="A389" i="1"/>
  <c r="C389" i="1"/>
  <c r="D389" i="1"/>
  <c r="F389" i="1"/>
  <c r="G389" i="1"/>
  <c r="J389" i="1"/>
  <c r="A388" i="1"/>
  <c r="C388" i="1"/>
  <c r="D388" i="1"/>
  <c r="F388" i="1"/>
  <c r="G388" i="1"/>
  <c r="J388" i="1"/>
  <c r="A387" i="1"/>
  <c r="C387" i="1"/>
  <c r="D387" i="1"/>
  <c r="F387" i="1"/>
  <c r="G387" i="1"/>
  <c r="J387" i="1"/>
  <c r="A384" i="1"/>
  <c r="C384" i="1"/>
  <c r="D384" i="1"/>
  <c r="F384" i="1"/>
  <c r="G384" i="1"/>
  <c r="J384" i="1"/>
  <c r="A385" i="1"/>
  <c r="C385" i="1"/>
  <c r="D385" i="1"/>
  <c r="F385" i="1"/>
  <c r="G385" i="1"/>
  <c r="J385" i="1"/>
  <c r="L385" i="1"/>
  <c r="A386" i="1"/>
  <c r="C386" i="1"/>
  <c r="D386" i="1"/>
  <c r="F386" i="1"/>
  <c r="G386" i="1"/>
  <c r="J386" i="1"/>
  <c r="A383" i="1"/>
  <c r="C383" i="1"/>
  <c r="D383" i="1"/>
  <c r="F383" i="1"/>
  <c r="G383" i="1"/>
  <c r="J383" i="1"/>
  <c r="A382" i="1"/>
  <c r="D382" i="1"/>
  <c r="F382" i="1"/>
  <c r="G382" i="1"/>
  <c r="J382" i="1"/>
  <c r="A381" i="1"/>
  <c r="C381" i="1"/>
  <c r="D381" i="1"/>
  <c r="E381" i="1"/>
  <c r="F381" i="1"/>
  <c r="G381" i="1"/>
  <c r="J381" i="1"/>
  <c r="A380" i="1"/>
  <c r="C380" i="1"/>
  <c r="D380" i="1"/>
  <c r="F380" i="1"/>
  <c r="G380" i="1"/>
  <c r="J380" i="1"/>
  <c r="A378" i="1"/>
  <c r="C378" i="1"/>
  <c r="D378" i="1"/>
  <c r="F378" i="1"/>
  <c r="G378" i="1"/>
  <c r="J378" i="1"/>
  <c r="A379" i="1"/>
  <c r="C379" i="1"/>
  <c r="D379" i="1"/>
  <c r="F379" i="1"/>
  <c r="G379" i="1"/>
  <c r="J379" i="1"/>
  <c r="A377" i="1"/>
  <c r="C377" i="1"/>
  <c r="D377" i="1"/>
  <c r="F377" i="1"/>
  <c r="G377" i="1"/>
  <c r="J377" i="1"/>
  <c r="A376" i="1"/>
  <c r="C376" i="1"/>
  <c r="D376" i="1"/>
  <c r="E376" i="1"/>
  <c r="F376" i="1"/>
  <c r="G376" i="1"/>
  <c r="J376" i="1"/>
  <c r="A375" i="1"/>
  <c r="C375" i="1"/>
  <c r="D375" i="1"/>
  <c r="F375" i="1"/>
  <c r="G375" i="1"/>
  <c r="J375" i="1"/>
  <c r="A374" i="1"/>
  <c r="C374" i="1"/>
  <c r="D374" i="1"/>
  <c r="F374" i="1"/>
  <c r="G374" i="1"/>
  <c r="J374" i="1"/>
  <c r="A373" i="1"/>
  <c r="C373" i="1"/>
  <c r="D373" i="1"/>
  <c r="E373" i="1"/>
  <c r="F373" i="1"/>
  <c r="G373" i="1"/>
  <c r="J373" i="1"/>
  <c r="A372" i="1"/>
  <c r="D372" i="1"/>
  <c r="E372" i="1"/>
  <c r="F372" i="1"/>
  <c r="G372" i="1"/>
  <c r="J372" i="1"/>
  <c r="A371" i="1"/>
  <c r="D371" i="1"/>
  <c r="F371" i="1"/>
  <c r="G371" i="1"/>
  <c r="J371" i="1"/>
  <c r="A370" i="1"/>
  <c r="C370" i="1"/>
  <c r="D370" i="1"/>
  <c r="E370" i="1"/>
  <c r="F370" i="1"/>
  <c r="G370" i="1"/>
  <c r="J370" i="1"/>
  <c r="A368" i="1"/>
  <c r="C368" i="1"/>
  <c r="D368" i="1"/>
  <c r="F368" i="1"/>
  <c r="G368" i="1"/>
  <c r="J368" i="1"/>
  <c r="A369" i="1"/>
  <c r="C369" i="1"/>
  <c r="D369" i="1"/>
  <c r="E369" i="1"/>
  <c r="F369" i="1"/>
  <c r="G369" i="1"/>
  <c r="J369" i="1"/>
  <c r="A367" i="1"/>
  <c r="D367" i="1"/>
  <c r="F367" i="1"/>
  <c r="G367" i="1"/>
  <c r="J367" i="1"/>
  <c r="A366" i="1"/>
  <c r="C366" i="1"/>
  <c r="D366" i="1"/>
  <c r="F366" i="1"/>
  <c r="G366" i="1"/>
  <c r="J366" i="1"/>
  <c r="A365" i="1"/>
  <c r="C365" i="1"/>
  <c r="D365" i="1"/>
  <c r="E365" i="1"/>
  <c r="F365" i="1"/>
  <c r="G365" i="1"/>
  <c r="J365" i="1"/>
  <c r="A364" i="1"/>
  <c r="C364" i="1"/>
  <c r="D364" i="1"/>
  <c r="F364" i="1"/>
  <c r="G364" i="1"/>
  <c r="J364" i="1"/>
  <c r="A363" i="1"/>
  <c r="C363" i="1"/>
  <c r="D363" i="1"/>
  <c r="F363" i="1"/>
  <c r="G363" i="1"/>
  <c r="J363" i="1"/>
  <c r="A362" i="1"/>
  <c r="C362" i="1"/>
  <c r="D362" i="1"/>
  <c r="E362" i="1"/>
  <c r="F362" i="1"/>
  <c r="G362" i="1"/>
  <c r="J362" i="1"/>
  <c r="A361" i="1"/>
  <c r="C361" i="1"/>
  <c r="D361" i="1"/>
  <c r="E361" i="1"/>
  <c r="F361" i="1"/>
  <c r="G361" i="1"/>
  <c r="J361" i="1"/>
  <c r="A360" i="1"/>
  <c r="C360" i="1"/>
  <c r="D360" i="1"/>
  <c r="E360" i="1"/>
  <c r="F360" i="1"/>
  <c r="G360" i="1"/>
  <c r="J360" i="1"/>
  <c r="A359" i="1"/>
  <c r="C359" i="1"/>
  <c r="D359" i="1"/>
  <c r="F359" i="1"/>
  <c r="G359" i="1"/>
  <c r="J359" i="1"/>
  <c r="A358" i="1"/>
  <c r="C358" i="1"/>
  <c r="D358" i="1"/>
  <c r="F358" i="1"/>
  <c r="G358" i="1"/>
  <c r="J358" i="1"/>
  <c r="A357" i="1"/>
  <c r="D357" i="1"/>
  <c r="F357" i="1"/>
  <c r="G357" i="1"/>
  <c r="J357" i="1"/>
  <c r="A356" i="1"/>
  <c r="C356" i="1"/>
  <c r="D356" i="1"/>
  <c r="F356" i="1"/>
  <c r="G356" i="1"/>
  <c r="J356" i="1"/>
  <c r="L356" i="1"/>
  <c r="A355" i="1"/>
  <c r="C355" i="1"/>
  <c r="D355" i="1"/>
  <c r="F355" i="1"/>
  <c r="G355" i="1"/>
  <c r="J355" i="1"/>
  <c r="L355" i="1"/>
  <c r="A354" i="1"/>
  <c r="C354" i="1"/>
  <c r="D354" i="1"/>
  <c r="F354" i="1"/>
  <c r="G354" i="1"/>
  <c r="J354" i="1"/>
  <c r="L354" i="1"/>
  <c r="A353" i="1"/>
  <c r="C353" i="1"/>
  <c r="D353" i="1"/>
  <c r="F353" i="1"/>
  <c r="G353" i="1"/>
  <c r="J353" i="1"/>
  <c r="L353" i="1"/>
  <c r="A352" i="1"/>
  <c r="C352" i="1"/>
  <c r="D352" i="1"/>
  <c r="F352" i="1"/>
  <c r="G352" i="1"/>
  <c r="J352" i="1"/>
  <c r="L352" i="1"/>
  <c r="A351" i="1"/>
  <c r="C351" i="1"/>
  <c r="D351" i="1"/>
  <c r="F351" i="1"/>
  <c r="G351" i="1"/>
  <c r="J351" i="1"/>
  <c r="A350" i="1"/>
  <c r="D350" i="1"/>
  <c r="E350" i="1"/>
  <c r="F350" i="1"/>
  <c r="G350" i="1"/>
  <c r="J350" i="1"/>
  <c r="A349" i="1"/>
  <c r="E349" i="1"/>
  <c r="F349" i="1"/>
  <c r="G349" i="1"/>
  <c r="J349" i="1"/>
  <c r="A348" i="1"/>
  <c r="C348" i="1"/>
  <c r="D348" i="1"/>
  <c r="F348" i="1"/>
  <c r="G348" i="1"/>
  <c r="J348" i="1"/>
  <c r="A347" i="1"/>
  <c r="C347" i="1"/>
  <c r="D347" i="1"/>
  <c r="F347" i="1"/>
  <c r="G347" i="1"/>
  <c r="J347" i="1"/>
  <c r="A346" i="1"/>
  <c r="C346" i="1"/>
  <c r="D346" i="1"/>
  <c r="F346" i="1"/>
  <c r="G346" i="1"/>
  <c r="J346" i="1"/>
  <c r="A345" i="1"/>
  <c r="C345" i="1"/>
  <c r="D345" i="1"/>
  <c r="F345" i="1"/>
  <c r="G345" i="1"/>
  <c r="J345" i="1"/>
  <c r="A343" i="1"/>
  <c r="C343" i="1"/>
  <c r="D343" i="1"/>
  <c r="F343" i="1"/>
  <c r="G343" i="1"/>
  <c r="J343" i="1"/>
  <c r="A342" i="1"/>
  <c r="C342" i="1"/>
  <c r="D342" i="1"/>
  <c r="E342" i="1"/>
  <c r="F342" i="1"/>
  <c r="G342" i="1"/>
  <c r="J342" i="1"/>
  <c r="A344" i="1"/>
  <c r="D344" i="1"/>
  <c r="E344" i="1"/>
  <c r="F344" i="1"/>
  <c r="G344" i="1"/>
  <c r="J344" i="1"/>
  <c r="A341" i="1"/>
  <c r="C341" i="1"/>
  <c r="D341" i="1"/>
  <c r="F341" i="1"/>
  <c r="G341" i="1"/>
  <c r="H341" i="1"/>
  <c r="I341" i="1"/>
  <c r="J341" i="1"/>
  <c r="A340" i="1"/>
  <c r="C340" i="1"/>
  <c r="D340" i="1"/>
  <c r="F340" i="1"/>
  <c r="G340" i="1"/>
  <c r="H340" i="1"/>
  <c r="I340" i="1"/>
  <c r="J340" i="1"/>
  <c r="A339" i="1"/>
  <c r="D339" i="1"/>
  <c r="E339" i="1"/>
  <c r="F339" i="1"/>
  <c r="G339" i="1"/>
  <c r="J339" i="1"/>
  <c r="A338" i="1"/>
  <c r="E338" i="1"/>
  <c r="F338" i="1"/>
  <c r="G338" i="1"/>
  <c r="J338" i="1"/>
  <c r="A336" i="1"/>
  <c r="D336" i="1"/>
  <c r="F336" i="1"/>
  <c r="G336" i="1"/>
  <c r="J336" i="1"/>
  <c r="A337" i="1"/>
  <c r="C337" i="1"/>
  <c r="D337" i="1"/>
  <c r="F337" i="1"/>
  <c r="G337" i="1"/>
  <c r="H337" i="1"/>
  <c r="I337" i="1"/>
  <c r="J337" i="1"/>
  <c r="A335" i="1"/>
  <c r="C335" i="1"/>
  <c r="D335" i="1"/>
  <c r="E335" i="1"/>
  <c r="F335" i="1"/>
  <c r="G335" i="1"/>
  <c r="J335" i="1"/>
  <c r="A334" i="1"/>
  <c r="D334" i="1"/>
  <c r="F334" i="1"/>
  <c r="G334" i="1"/>
  <c r="J334" i="1"/>
  <c r="A333" i="1"/>
  <c r="C333" i="1"/>
  <c r="D333" i="1"/>
  <c r="F333" i="1"/>
  <c r="G333" i="1"/>
  <c r="H333" i="1"/>
  <c r="I333" i="1"/>
  <c r="J333" i="1"/>
  <c r="A331" i="1"/>
  <c r="C331" i="1"/>
  <c r="D331" i="1"/>
  <c r="E331" i="1"/>
  <c r="F331" i="1"/>
  <c r="G331" i="1"/>
  <c r="J331" i="1"/>
  <c r="A332" i="1"/>
  <c r="C332" i="1"/>
  <c r="D332" i="1"/>
  <c r="F332" i="1"/>
  <c r="G332" i="1"/>
  <c r="H332" i="1"/>
  <c r="I332" i="1"/>
  <c r="J332" i="1"/>
  <c r="A330" i="1"/>
  <c r="C330" i="1"/>
  <c r="D330" i="1"/>
  <c r="F330" i="1"/>
  <c r="G330" i="1"/>
  <c r="H330" i="1"/>
  <c r="I330" i="1"/>
  <c r="J330" i="1"/>
  <c r="A329" i="1"/>
  <c r="D329" i="1"/>
  <c r="F329" i="1"/>
  <c r="G329" i="1"/>
  <c r="J329" i="1"/>
  <c r="A327" i="1"/>
  <c r="C327" i="1"/>
  <c r="D327" i="1"/>
  <c r="E327" i="1"/>
  <c r="F327" i="1"/>
  <c r="G327" i="1"/>
  <c r="J327" i="1"/>
  <c r="A328" i="1"/>
  <c r="C328" i="1"/>
  <c r="D328" i="1"/>
  <c r="E328" i="1"/>
  <c r="F328" i="1"/>
  <c r="G328" i="1"/>
  <c r="J328" i="1"/>
  <c r="A324" i="1"/>
  <c r="C324" i="1"/>
  <c r="D324" i="1"/>
  <c r="F324" i="1"/>
  <c r="G324" i="1"/>
  <c r="J324" i="1"/>
  <c r="A325" i="1"/>
  <c r="C325" i="1"/>
  <c r="D325" i="1"/>
  <c r="F325" i="1"/>
  <c r="G325" i="1"/>
  <c r="H325" i="1"/>
  <c r="I325" i="1"/>
  <c r="J325" i="1"/>
  <c r="A326" i="1"/>
  <c r="C326" i="1"/>
  <c r="D326" i="1"/>
  <c r="F326" i="1"/>
  <c r="G326" i="1"/>
  <c r="J326" i="1"/>
  <c r="A323" i="1"/>
  <c r="C323" i="1"/>
  <c r="D323" i="1"/>
  <c r="F323" i="1"/>
  <c r="G323" i="1"/>
  <c r="J323" i="1"/>
  <c r="A322" i="1"/>
  <c r="C322" i="1"/>
  <c r="D322" i="1"/>
  <c r="F322" i="1"/>
  <c r="G322" i="1"/>
  <c r="J322" i="1"/>
  <c r="A321" i="1"/>
  <c r="C321" i="1"/>
  <c r="D321" i="1"/>
  <c r="F321" i="1"/>
  <c r="G321" i="1"/>
  <c r="J321" i="1"/>
  <c r="A320" i="1"/>
  <c r="C320" i="1"/>
  <c r="D320" i="1"/>
  <c r="F320" i="1"/>
  <c r="G320" i="1"/>
  <c r="H320" i="1"/>
  <c r="I320" i="1"/>
  <c r="J320" i="1"/>
  <c r="A319" i="1"/>
  <c r="C319" i="1"/>
  <c r="D319" i="1"/>
  <c r="F319" i="1"/>
  <c r="G319" i="1"/>
  <c r="J319" i="1"/>
  <c r="A318" i="1"/>
  <c r="C318" i="1"/>
  <c r="D318" i="1"/>
  <c r="F318" i="1"/>
  <c r="G318" i="1"/>
  <c r="J318" i="1"/>
  <c r="A317" i="1"/>
  <c r="C317" i="1"/>
  <c r="D317" i="1"/>
  <c r="F317" i="1"/>
  <c r="G317" i="1"/>
  <c r="J317" i="1"/>
  <c r="A316" i="1"/>
  <c r="C316" i="1"/>
  <c r="D316" i="1"/>
  <c r="F316" i="1"/>
  <c r="G316" i="1"/>
  <c r="J316" i="1"/>
  <c r="A314" i="1"/>
  <c r="C314" i="1"/>
  <c r="D314" i="1"/>
  <c r="F314" i="1"/>
  <c r="G314" i="1"/>
  <c r="H314" i="1"/>
  <c r="I314" i="1"/>
  <c r="J314" i="1"/>
  <c r="A315" i="1"/>
  <c r="C315" i="1"/>
  <c r="D315" i="1"/>
  <c r="F315" i="1"/>
  <c r="G315" i="1"/>
  <c r="J315" i="1"/>
  <c r="A313" i="1"/>
  <c r="C313" i="1"/>
  <c r="D313" i="1"/>
  <c r="E313" i="1"/>
  <c r="F313" i="1"/>
  <c r="G313" i="1"/>
  <c r="J313" i="1"/>
  <c r="A312" i="1"/>
  <c r="D312" i="1"/>
  <c r="F312" i="1"/>
  <c r="G312" i="1"/>
  <c r="J312" i="1"/>
  <c r="A311" i="1"/>
  <c r="C311" i="1"/>
  <c r="D311" i="1"/>
  <c r="E311" i="1"/>
  <c r="F311" i="1"/>
  <c r="G311" i="1"/>
  <c r="J311" i="1"/>
  <c r="A310" i="1"/>
  <c r="C310" i="1"/>
  <c r="D310" i="1"/>
  <c r="F310" i="1"/>
  <c r="G310" i="1"/>
  <c r="J310" i="1"/>
  <c r="A309" i="1"/>
  <c r="C309" i="1"/>
  <c r="D309" i="1"/>
  <c r="F309" i="1"/>
  <c r="G309" i="1"/>
  <c r="J309" i="1"/>
  <c r="A308" i="1"/>
  <c r="C308" i="1"/>
  <c r="D308" i="1"/>
  <c r="E308" i="1"/>
  <c r="F308" i="1"/>
  <c r="G308" i="1"/>
  <c r="J308" i="1"/>
  <c r="A307" i="1"/>
  <c r="C307" i="1"/>
  <c r="D307" i="1"/>
  <c r="E307" i="1"/>
  <c r="F307" i="1"/>
  <c r="G307" i="1"/>
  <c r="J307" i="1"/>
  <c r="A306" i="1"/>
  <c r="C306" i="1"/>
  <c r="D306" i="1"/>
  <c r="F306" i="1"/>
  <c r="G306" i="1"/>
  <c r="J306" i="1"/>
  <c r="A305" i="1"/>
  <c r="C305" i="1"/>
  <c r="D305" i="1"/>
  <c r="E305" i="1"/>
  <c r="F305" i="1"/>
  <c r="G305" i="1"/>
  <c r="J305" i="1"/>
  <c r="A304" i="1"/>
  <c r="C304" i="1"/>
  <c r="D304" i="1"/>
  <c r="F304" i="1"/>
  <c r="G304" i="1"/>
  <c r="J304" i="1"/>
  <c r="A303" i="1"/>
  <c r="C303" i="1"/>
  <c r="D303" i="1"/>
  <c r="E303" i="1"/>
  <c r="F303" i="1"/>
  <c r="G303" i="1"/>
  <c r="J303" i="1"/>
  <c r="A302" i="1"/>
  <c r="C302" i="1"/>
  <c r="D302" i="1"/>
  <c r="F302" i="1"/>
  <c r="G302" i="1"/>
  <c r="J302" i="1"/>
  <c r="A301" i="1"/>
  <c r="C301" i="1"/>
  <c r="D301" i="1"/>
  <c r="F301" i="1"/>
  <c r="G301" i="1"/>
  <c r="J301" i="1"/>
  <c r="A300" i="1"/>
  <c r="C300" i="1"/>
  <c r="D300" i="1"/>
  <c r="F300" i="1"/>
  <c r="G300" i="1"/>
  <c r="J300" i="1"/>
  <c r="A299" i="1"/>
  <c r="C299" i="1"/>
  <c r="D299" i="1"/>
  <c r="F299" i="1"/>
  <c r="G299" i="1"/>
  <c r="J299" i="1"/>
  <c r="A298" i="1"/>
  <c r="C298" i="1"/>
  <c r="D298" i="1"/>
  <c r="F298" i="1"/>
  <c r="G298" i="1"/>
  <c r="H298" i="1"/>
  <c r="I298" i="1"/>
  <c r="J298" i="1"/>
  <c r="L298" i="1"/>
  <c r="A297" i="1"/>
  <c r="C297" i="1"/>
  <c r="D297" i="1"/>
  <c r="F297" i="1"/>
  <c r="G297" i="1"/>
  <c r="H297" i="1"/>
  <c r="I297" i="1"/>
  <c r="J297" i="1"/>
  <c r="L297" i="1"/>
  <c r="A296" i="1"/>
  <c r="C296" i="1"/>
  <c r="D296" i="1"/>
  <c r="F296" i="1"/>
  <c r="G296" i="1"/>
  <c r="H296" i="1"/>
  <c r="I296" i="1"/>
  <c r="J296" i="1"/>
  <c r="L296" i="1"/>
  <c r="A295" i="1"/>
  <c r="C295" i="1"/>
  <c r="D295" i="1"/>
  <c r="F295" i="1"/>
  <c r="G295" i="1"/>
  <c r="J295" i="1"/>
  <c r="A294" i="1"/>
  <c r="C294" i="1"/>
  <c r="D294" i="1"/>
  <c r="F294" i="1"/>
  <c r="G294" i="1"/>
  <c r="H294" i="1"/>
  <c r="I294" i="1"/>
  <c r="J294" i="1"/>
  <c r="L294" i="1"/>
  <c r="A293" i="1"/>
  <c r="C293" i="1"/>
  <c r="D293" i="1"/>
  <c r="F293" i="1"/>
  <c r="G293" i="1"/>
  <c r="H293" i="1"/>
  <c r="I293" i="1"/>
  <c r="J293" i="1"/>
  <c r="L293" i="1"/>
  <c r="A292" i="1"/>
  <c r="C292" i="1"/>
  <c r="D292" i="1"/>
  <c r="F292" i="1"/>
  <c r="G292" i="1"/>
  <c r="J292" i="1"/>
  <c r="A291" i="1"/>
  <c r="C291" i="1"/>
  <c r="D291" i="1"/>
  <c r="F291" i="1"/>
  <c r="G291" i="1"/>
  <c r="H291" i="1"/>
  <c r="I291" i="1"/>
  <c r="J291" i="1"/>
  <c r="L291" i="1"/>
  <c r="A290" i="1"/>
  <c r="C290" i="1"/>
  <c r="D290" i="1"/>
  <c r="F290" i="1"/>
  <c r="G290" i="1"/>
  <c r="H290" i="1"/>
  <c r="I290" i="1"/>
  <c r="J290" i="1"/>
  <c r="L290" i="1"/>
  <c r="A288" i="1"/>
  <c r="C288" i="1"/>
  <c r="D288" i="1"/>
  <c r="F288" i="1"/>
  <c r="G288" i="1"/>
  <c r="J288" i="1"/>
  <c r="A289" i="1"/>
  <c r="C289" i="1"/>
  <c r="D289" i="1"/>
  <c r="E289" i="1"/>
  <c r="F289" i="1"/>
  <c r="G289" i="1"/>
  <c r="J289" i="1"/>
  <c r="A287" i="1"/>
  <c r="C287" i="1"/>
  <c r="D287" i="1"/>
  <c r="F287" i="1"/>
  <c r="G287" i="1"/>
  <c r="H287" i="1"/>
  <c r="I287" i="1"/>
  <c r="J287" i="1"/>
  <c r="L287" i="1"/>
  <c r="A286" i="1"/>
  <c r="C286" i="1"/>
  <c r="D286" i="1"/>
  <c r="E286" i="1"/>
  <c r="F286" i="1"/>
  <c r="G286" i="1"/>
  <c r="J286" i="1"/>
  <c r="A285" i="1"/>
  <c r="C285" i="1"/>
  <c r="D285" i="1"/>
  <c r="F285" i="1"/>
  <c r="G285" i="1"/>
  <c r="J285" i="1"/>
  <c r="A284" i="1"/>
  <c r="C284" i="1"/>
  <c r="D284" i="1"/>
  <c r="F284" i="1"/>
  <c r="G284" i="1"/>
  <c r="J284" i="1"/>
  <c r="A282" i="1"/>
  <c r="C282" i="1"/>
  <c r="D282" i="1"/>
  <c r="F282" i="1"/>
  <c r="G282" i="1"/>
  <c r="J282" i="1"/>
  <c r="L282" i="1"/>
  <c r="A283" i="1"/>
  <c r="C283" i="1"/>
  <c r="D283" i="1"/>
  <c r="F283" i="1"/>
  <c r="G283" i="1"/>
  <c r="J283" i="1"/>
  <c r="A281" i="1"/>
  <c r="D281" i="1"/>
  <c r="F281" i="1"/>
  <c r="G281" i="1"/>
  <c r="J281" i="1"/>
  <c r="A280" i="1"/>
  <c r="C280" i="1"/>
  <c r="D280" i="1"/>
  <c r="F280" i="1"/>
  <c r="G280" i="1"/>
  <c r="J280" i="1"/>
  <c r="L280" i="1"/>
  <c r="A279" i="1"/>
  <c r="C279" i="1"/>
  <c r="D279" i="1"/>
  <c r="F279" i="1"/>
  <c r="G279" i="1"/>
  <c r="J279" i="1"/>
  <c r="A278" i="1"/>
  <c r="C278" i="1"/>
  <c r="D278" i="1"/>
  <c r="F278" i="1"/>
  <c r="G278" i="1"/>
  <c r="H278" i="1"/>
  <c r="I278" i="1"/>
  <c r="J278" i="1"/>
  <c r="L278" i="1"/>
  <c r="A277" i="1"/>
  <c r="C277" i="1"/>
  <c r="D277" i="1"/>
  <c r="F277" i="1"/>
  <c r="G277" i="1"/>
  <c r="H277" i="1"/>
  <c r="I277" i="1"/>
  <c r="J277" i="1"/>
  <c r="L277" i="1"/>
  <c r="A276" i="1"/>
  <c r="C276" i="1"/>
  <c r="D276" i="1"/>
  <c r="F276" i="1"/>
  <c r="G276" i="1"/>
  <c r="H276" i="1"/>
  <c r="I276" i="1"/>
  <c r="J276" i="1"/>
  <c r="L276" i="1"/>
  <c r="A275" i="1"/>
  <c r="C275" i="1"/>
  <c r="D275" i="1"/>
  <c r="F275" i="1"/>
  <c r="G275" i="1"/>
  <c r="J275" i="1"/>
  <c r="L275" i="1"/>
  <c r="A274" i="1"/>
  <c r="C274" i="1"/>
  <c r="D274" i="1"/>
  <c r="F274" i="1"/>
  <c r="G274" i="1"/>
  <c r="J274" i="1"/>
  <c r="A273" i="1"/>
  <c r="C273" i="1"/>
  <c r="D273" i="1"/>
  <c r="F273" i="1"/>
  <c r="G273" i="1"/>
  <c r="J273" i="1"/>
  <c r="L273" i="1"/>
  <c r="A272" i="1"/>
  <c r="C272" i="1"/>
  <c r="D272" i="1"/>
  <c r="F272" i="1"/>
  <c r="G272" i="1"/>
  <c r="J272" i="1"/>
  <c r="L272" i="1"/>
  <c r="A271" i="1"/>
  <c r="C271" i="1"/>
  <c r="D271" i="1"/>
  <c r="E271" i="1"/>
  <c r="F271" i="1"/>
  <c r="G271" i="1"/>
  <c r="J271" i="1"/>
  <c r="A270" i="1"/>
  <c r="C270" i="1"/>
  <c r="D270" i="1"/>
  <c r="F270" i="1"/>
  <c r="G270" i="1"/>
  <c r="J270" i="1"/>
  <c r="L270" i="1"/>
  <c r="A269" i="1"/>
  <c r="C269" i="1"/>
  <c r="D269" i="1"/>
  <c r="F269" i="1"/>
  <c r="G269" i="1"/>
  <c r="J269" i="1"/>
  <c r="A268" i="1"/>
  <c r="C268" i="1"/>
  <c r="D268" i="1"/>
  <c r="F268" i="1"/>
  <c r="G268" i="1"/>
  <c r="J268" i="1"/>
  <c r="L268" i="1"/>
  <c r="A267" i="1"/>
  <c r="C267" i="1"/>
  <c r="D267" i="1"/>
  <c r="F267" i="1"/>
  <c r="G267" i="1"/>
  <c r="H267" i="1"/>
  <c r="J267" i="1"/>
  <c r="L267" i="1"/>
  <c r="A266" i="1"/>
  <c r="C266" i="1"/>
  <c r="D266" i="1"/>
  <c r="F266" i="1"/>
  <c r="G266" i="1"/>
  <c r="H266" i="1"/>
  <c r="J266" i="1"/>
  <c r="L266" i="1"/>
  <c r="A265" i="1"/>
  <c r="C265" i="1"/>
  <c r="D265" i="1"/>
  <c r="E265" i="1"/>
  <c r="F265" i="1"/>
  <c r="G265" i="1"/>
  <c r="J265" i="1"/>
  <c r="A264" i="1"/>
  <c r="C264" i="1"/>
  <c r="D264" i="1"/>
  <c r="F264" i="1"/>
  <c r="G264" i="1"/>
  <c r="H264" i="1"/>
  <c r="I264" i="1"/>
  <c r="J264" i="1"/>
  <c r="L264" i="1"/>
  <c r="A263" i="1"/>
  <c r="C263" i="1"/>
  <c r="D263" i="1"/>
  <c r="F263" i="1"/>
  <c r="G263" i="1"/>
  <c r="J263" i="1"/>
  <c r="A262" i="1"/>
  <c r="C262" i="1"/>
  <c r="D262" i="1"/>
  <c r="F262" i="1"/>
  <c r="G262" i="1"/>
  <c r="H262" i="1"/>
  <c r="J262" i="1"/>
  <c r="L262" i="1"/>
  <c r="A260" i="1"/>
  <c r="C260" i="1"/>
  <c r="D260" i="1"/>
  <c r="F260" i="1"/>
  <c r="G260" i="1"/>
  <c r="J260" i="1"/>
  <c r="L260" i="1"/>
  <c r="A261" i="1"/>
  <c r="C261" i="1"/>
  <c r="D261" i="1"/>
  <c r="F261" i="1"/>
  <c r="G261" i="1"/>
  <c r="H261" i="1"/>
  <c r="J261" i="1"/>
  <c r="L261" i="1"/>
  <c r="A259" i="1"/>
  <c r="C259" i="1"/>
  <c r="D259" i="1"/>
  <c r="E259" i="1"/>
  <c r="F259" i="1"/>
  <c r="G259" i="1"/>
  <c r="J259" i="1"/>
  <c r="A258" i="1"/>
  <c r="C258" i="1"/>
  <c r="D258" i="1"/>
  <c r="F258" i="1"/>
  <c r="G258" i="1"/>
  <c r="H258" i="1"/>
  <c r="J258" i="1"/>
  <c r="L258" i="1"/>
  <c r="A257" i="1"/>
  <c r="E257" i="1"/>
  <c r="F257" i="1"/>
  <c r="G257" i="1"/>
  <c r="J257" i="1"/>
  <c r="A255" i="1"/>
  <c r="C255" i="1"/>
  <c r="D255" i="1"/>
  <c r="F255" i="1"/>
  <c r="G255" i="1"/>
  <c r="H255" i="1"/>
  <c r="J255" i="1"/>
  <c r="L255" i="1"/>
  <c r="A256" i="1"/>
  <c r="C256" i="1"/>
  <c r="D256" i="1"/>
  <c r="F256" i="1"/>
  <c r="G256" i="1"/>
  <c r="J256" i="1"/>
  <c r="L256" i="1"/>
  <c r="A253" i="1"/>
  <c r="D253" i="1"/>
  <c r="F253" i="1"/>
  <c r="G253" i="1"/>
  <c r="J253" i="1"/>
  <c r="A254" i="1"/>
  <c r="C254" i="1"/>
  <c r="D254" i="1"/>
  <c r="F254" i="1"/>
  <c r="G254" i="1"/>
  <c r="J254" i="1"/>
  <c r="L254" i="1"/>
  <c r="A252" i="1"/>
  <c r="C252" i="1"/>
  <c r="D252" i="1"/>
  <c r="F252" i="1"/>
  <c r="G252" i="1"/>
  <c r="H252" i="1"/>
  <c r="J252" i="1"/>
  <c r="L252" i="1"/>
  <c r="A251" i="1"/>
  <c r="C251" i="1"/>
  <c r="D251" i="1"/>
  <c r="F251" i="1"/>
  <c r="G251" i="1"/>
  <c r="J251" i="1"/>
  <c r="L251" i="1"/>
  <c r="A250" i="1"/>
  <c r="C250" i="1"/>
  <c r="D250" i="1"/>
  <c r="F250" i="1"/>
  <c r="G250" i="1"/>
  <c r="H250" i="1"/>
  <c r="J250" i="1"/>
  <c r="L250" i="1"/>
  <c r="A249" i="1"/>
  <c r="C249" i="1"/>
  <c r="D249" i="1"/>
  <c r="F249" i="1"/>
  <c r="G249" i="1"/>
  <c r="J249" i="1"/>
  <c r="L249" i="1"/>
  <c r="A248" i="1"/>
  <c r="C248" i="1"/>
  <c r="D248" i="1"/>
  <c r="F248" i="1"/>
  <c r="G248" i="1"/>
  <c r="H248" i="1"/>
  <c r="J248" i="1"/>
  <c r="L248" i="1"/>
  <c r="A247" i="1"/>
  <c r="C247" i="1"/>
  <c r="D247" i="1"/>
  <c r="F247" i="1"/>
  <c r="G247" i="1"/>
  <c r="J247" i="1"/>
  <c r="L247" i="1"/>
  <c r="A246" i="1"/>
  <c r="C246" i="1"/>
  <c r="D246" i="1"/>
  <c r="F246" i="1"/>
  <c r="G246" i="1"/>
  <c r="H246" i="1"/>
  <c r="I246" i="1"/>
  <c r="J246" i="1"/>
  <c r="L246" i="1"/>
  <c r="A244" i="1"/>
  <c r="C244" i="1"/>
  <c r="D244" i="1"/>
  <c r="F244" i="1"/>
  <c r="G244" i="1"/>
  <c r="H244" i="1"/>
  <c r="I244" i="1"/>
  <c r="J244" i="1"/>
  <c r="L244" i="1"/>
  <c r="A245" i="1"/>
  <c r="C245" i="1"/>
  <c r="D245" i="1"/>
  <c r="F245" i="1"/>
  <c r="G245" i="1"/>
  <c r="J245" i="1"/>
  <c r="L245" i="1"/>
  <c r="A243" i="1"/>
  <c r="C243" i="1"/>
  <c r="D243" i="1"/>
  <c r="F243" i="1"/>
  <c r="G243" i="1"/>
  <c r="J243" i="1"/>
  <c r="A242" i="1"/>
  <c r="C242" i="1"/>
  <c r="D242" i="1"/>
  <c r="F242" i="1"/>
  <c r="G242" i="1"/>
  <c r="H242" i="1"/>
  <c r="I242" i="1"/>
  <c r="J242" i="1"/>
  <c r="L242" i="1"/>
  <c r="A241" i="1"/>
  <c r="C241" i="1"/>
  <c r="D241" i="1"/>
  <c r="F241" i="1"/>
  <c r="G241" i="1"/>
  <c r="H241" i="1"/>
  <c r="I241" i="1"/>
  <c r="J241" i="1"/>
  <c r="L241" i="1"/>
  <c r="A240" i="1"/>
  <c r="C240" i="1"/>
  <c r="D240" i="1"/>
  <c r="F240" i="1"/>
  <c r="G240" i="1"/>
  <c r="J240" i="1"/>
  <c r="A239" i="1"/>
  <c r="D239" i="1"/>
  <c r="E239" i="1"/>
  <c r="F239" i="1"/>
  <c r="G239" i="1"/>
  <c r="J239" i="1"/>
  <c r="A236" i="1"/>
  <c r="C236" i="1"/>
  <c r="D236" i="1"/>
  <c r="F236" i="1"/>
  <c r="G236" i="1"/>
  <c r="J236" i="1"/>
  <c r="A238" i="1"/>
  <c r="C238" i="1"/>
  <c r="D238" i="1"/>
  <c r="F238" i="1"/>
  <c r="G238" i="1"/>
  <c r="J238" i="1"/>
  <c r="L238" i="1"/>
  <c r="A237" i="1"/>
  <c r="C237" i="1"/>
  <c r="D237" i="1"/>
  <c r="F237" i="1"/>
  <c r="G237" i="1"/>
  <c r="J237" i="1"/>
  <c r="L237" i="1"/>
  <c r="A235" i="1"/>
  <c r="C235" i="1"/>
  <c r="D235" i="1"/>
  <c r="F235" i="1"/>
  <c r="G235" i="1"/>
  <c r="J235" i="1"/>
  <c r="A233" i="1"/>
  <c r="C233" i="1"/>
  <c r="D233" i="1"/>
  <c r="F233" i="1"/>
  <c r="G233" i="1"/>
  <c r="H233" i="1"/>
  <c r="I233" i="1"/>
  <c r="J233" i="1"/>
  <c r="A232" i="1"/>
  <c r="C232" i="1"/>
  <c r="D232" i="1"/>
  <c r="F232" i="1"/>
  <c r="G232" i="1"/>
  <c r="J232" i="1"/>
  <c r="A234" i="1"/>
  <c r="C234" i="1"/>
  <c r="D234" i="1"/>
  <c r="F234" i="1"/>
  <c r="G234" i="1"/>
  <c r="H234" i="1"/>
  <c r="I234" i="1"/>
  <c r="J234" i="1"/>
  <c r="L234" i="1"/>
  <c r="A231" i="1"/>
  <c r="C231" i="1"/>
  <c r="D231" i="1"/>
  <c r="F231" i="1"/>
  <c r="G231" i="1"/>
  <c r="H231" i="1"/>
  <c r="I231" i="1"/>
  <c r="J231" i="1"/>
  <c r="L231" i="1"/>
  <c r="A230" i="1"/>
  <c r="C230" i="1"/>
  <c r="D230" i="1"/>
  <c r="F230" i="1"/>
  <c r="G230" i="1"/>
  <c r="J230" i="1"/>
  <c r="A229" i="1"/>
  <c r="C229" i="1"/>
  <c r="D229" i="1"/>
  <c r="F229" i="1"/>
  <c r="G229" i="1"/>
  <c r="H229" i="1"/>
  <c r="I229" i="1"/>
  <c r="J229" i="1"/>
  <c r="L229" i="1"/>
  <c r="A228" i="1"/>
  <c r="C228" i="1"/>
  <c r="D228" i="1"/>
  <c r="F228" i="1"/>
  <c r="G228" i="1"/>
  <c r="H228" i="1"/>
  <c r="I228" i="1"/>
  <c r="J228" i="1"/>
  <c r="L228" i="1"/>
  <c r="A227" i="1"/>
  <c r="C227" i="1"/>
  <c r="D227" i="1"/>
  <c r="F227" i="1"/>
  <c r="G227" i="1"/>
  <c r="H227" i="1"/>
  <c r="I227" i="1"/>
  <c r="J227" i="1"/>
  <c r="A226" i="1"/>
  <c r="C226" i="1"/>
  <c r="D226" i="1"/>
  <c r="F226" i="1"/>
  <c r="G226" i="1"/>
  <c r="J226" i="1"/>
  <c r="L226" i="1"/>
  <c r="A225" i="1"/>
  <c r="C225" i="1"/>
  <c r="D225" i="1"/>
  <c r="F225" i="1"/>
  <c r="G225" i="1"/>
  <c r="J225" i="1"/>
  <c r="A224" i="1"/>
  <c r="C224" i="1"/>
  <c r="D224" i="1"/>
  <c r="F224" i="1"/>
  <c r="G224" i="1"/>
  <c r="J224" i="1"/>
  <c r="A223" i="1"/>
  <c r="C223" i="1"/>
  <c r="D223" i="1"/>
  <c r="F223" i="1"/>
  <c r="G223" i="1"/>
  <c r="J223" i="1"/>
  <c r="A222" i="1"/>
  <c r="C222" i="1"/>
  <c r="D222" i="1"/>
  <c r="F222" i="1"/>
  <c r="G222" i="1"/>
  <c r="J222" i="1"/>
  <c r="A221" i="1"/>
  <c r="C221" i="1"/>
  <c r="D221" i="1"/>
  <c r="E221" i="1"/>
  <c r="F221" i="1"/>
  <c r="G221" i="1"/>
  <c r="J221" i="1"/>
  <c r="A220" i="1"/>
  <c r="C220" i="1"/>
  <c r="D220" i="1"/>
  <c r="F220" i="1"/>
  <c r="G220" i="1"/>
  <c r="H220" i="1"/>
  <c r="I220" i="1"/>
  <c r="J220" i="1"/>
  <c r="A219" i="1"/>
  <c r="C219" i="1"/>
  <c r="D219" i="1"/>
  <c r="F219" i="1"/>
  <c r="G219" i="1"/>
  <c r="H219" i="1"/>
  <c r="I219" i="1"/>
  <c r="J219" i="1"/>
  <c r="A218" i="1"/>
  <c r="C218" i="1"/>
  <c r="D218" i="1"/>
  <c r="F218" i="1"/>
  <c r="G218" i="1"/>
  <c r="H218" i="1"/>
  <c r="I218" i="1"/>
  <c r="J218" i="1"/>
  <c r="A217" i="1"/>
  <c r="C217" i="1"/>
  <c r="D217" i="1"/>
  <c r="F217" i="1"/>
  <c r="G217" i="1"/>
  <c r="H217" i="1"/>
  <c r="I217" i="1"/>
  <c r="J217" i="1"/>
  <c r="A216" i="1"/>
  <c r="C216" i="1"/>
  <c r="D216" i="1"/>
  <c r="E216" i="1"/>
  <c r="F216" i="1"/>
  <c r="G216" i="1"/>
  <c r="J216" i="1"/>
  <c r="A215" i="1"/>
  <c r="C215" i="1"/>
  <c r="D215" i="1"/>
  <c r="F215" i="1"/>
  <c r="G215" i="1"/>
  <c r="H215" i="1"/>
  <c r="I215" i="1"/>
  <c r="J215" i="1"/>
  <c r="A214" i="1"/>
  <c r="C214" i="1"/>
  <c r="D214" i="1"/>
  <c r="F214" i="1"/>
  <c r="G214" i="1"/>
  <c r="J214" i="1"/>
  <c r="L214" i="1"/>
  <c r="A213" i="1"/>
  <c r="C213" i="1"/>
  <c r="D213" i="1"/>
  <c r="E213" i="1"/>
  <c r="F213" i="1"/>
  <c r="G213" i="1"/>
  <c r="J213" i="1"/>
  <c r="A212" i="1"/>
  <c r="C212" i="1"/>
  <c r="D212" i="1"/>
  <c r="E212" i="1"/>
  <c r="F212" i="1"/>
  <c r="G212" i="1"/>
  <c r="J212" i="1"/>
  <c r="A211" i="1"/>
  <c r="C211" i="1"/>
  <c r="D211" i="1"/>
  <c r="F211" i="1"/>
  <c r="G211" i="1"/>
  <c r="H211" i="1"/>
  <c r="J211" i="1"/>
  <c r="A210" i="1"/>
  <c r="C210" i="1"/>
  <c r="D210" i="1"/>
  <c r="F210" i="1"/>
  <c r="G210" i="1"/>
  <c r="J210" i="1"/>
  <c r="A209" i="1"/>
  <c r="D209" i="1"/>
  <c r="F209" i="1"/>
  <c r="G209" i="1"/>
  <c r="J209" i="1"/>
  <c r="A208" i="1"/>
  <c r="C208" i="1"/>
  <c r="D208" i="1"/>
  <c r="E208" i="1"/>
  <c r="F208" i="1"/>
  <c r="G208" i="1"/>
  <c r="J208" i="1"/>
  <c r="A207" i="1"/>
  <c r="D207" i="1"/>
  <c r="F207" i="1"/>
  <c r="G207" i="1"/>
  <c r="H207" i="1"/>
  <c r="J207" i="1"/>
  <c r="A206" i="1"/>
  <c r="C206" i="1"/>
  <c r="D206" i="1"/>
  <c r="F206" i="1"/>
  <c r="G206" i="1"/>
  <c r="J206" i="1"/>
  <c r="A205" i="1"/>
  <c r="C205" i="1"/>
  <c r="D205" i="1"/>
  <c r="F205" i="1"/>
  <c r="G205" i="1"/>
  <c r="J205" i="1"/>
  <c r="A204" i="1"/>
  <c r="C204" i="1"/>
  <c r="D204" i="1"/>
  <c r="F204" i="1"/>
  <c r="G204" i="1"/>
  <c r="J204" i="1"/>
  <c r="A203" i="1"/>
  <c r="C203" i="1"/>
  <c r="D203" i="1"/>
  <c r="F203" i="1"/>
  <c r="G203" i="1"/>
  <c r="J203" i="1"/>
  <c r="A202" i="1"/>
  <c r="C202" i="1"/>
  <c r="D202" i="1"/>
  <c r="F202" i="1"/>
  <c r="G202" i="1"/>
  <c r="J202" i="1"/>
  <c r="A201" i="1"/>
  <c r="C201" i="1"/>
  <c r="D201" i="1"/>
  <c r="E201" i="1"/>
  <c r="F201" i="1"/>
  <c r="G201" i="1"/>
  <c r="J201" i="1"/>
  <c r="A200" i="1"/>
  <c r="C200" i="1"/>
  <c r="D200" i="1"/>
  <c r="F200" i="1"/>
  <c r="G200" i="1"/>
  <c r="J200" i="1"/>
  <c r="A199" i="1"/>
  <c r="C199" i="1"/>
  <c r="D199" i="1"/>
  <c r="F199" i="1"/>
  <c r="G199" i="1"/>
  <c r="J199" i="1"/>
  <c r="A198" i="1"/>
  <c r="C198" i="1"/>
  <c r="D198" i="1"/>
  <c r="F198" i="1"/>
  <c r="G198" i="1"/>
  <c r="H198" i="1"/>
  <c r="J198" i="1"/>
  <c r="A197" i="1"/>
  <c r="C197" i="1"/>
  <c r="D197" i="1"/>
  <c r="F197" i="1"/>
  <c r="G197" i="1"/>
  <c r="H197" i="1"/>
  <c r="J197" i="1"/>
  <c r="A196" i="1"/>
  <c r="C196" i="1"/>
  <c r="D196" i="1"/>
  <c r="F196" i="1"/>
  <c r="G196" i="1"/>
  <c r="H196" i="1"/>
  <c r="J196" i="1"/>
  <c r="A194" i="1"/>
  <c r="C194" i="1"/>
  <c r="D194" i="1"/>
  <c r="F194" i="1"/>
  <c r="G194" i="1"/>
  <c r="H194" i="1"/>
  <c r="J194" i="1"/>
  <c r="A195" i="1"/>
  <c r="C195" i="1"/>
  <c r="D195" i="1"/>
  <c r="E195" i="1"/>
  <c r="F195" i="1"/>
  <c r="G195" i="1"/>
  <c r="J195" i="1"/>
  <c r="A192" i="1"/>
  <c r="C192" i="1"/>
  <c r="D192" i="1"/>
  <c r="F192" i="1"/>
  <c r="G192" i="1"/>
  <c r="H192" i="1"/>
  <c r="J192" i="1"/>
  <c r="A193" i="1"/>
  <c r="D193" i="1"/>
  <c r="F193" i="1"/>
  <c r="G193" i="1"/>
  <c r="J193" i="1"/>
  <c r="A191" i="1"/>
  <c r="C191" i="1"/>
  <c r="D191" i="1"/>
  <c r="F191" i="1"/>
  <c r="G191" i="1"/>
  <c r="H191" i="1"/>
  <c r="J191" i="1"/>
  <c r="A190" i="1"/>
  <c r="C190" i="1"/>
  <c r="D190" i="1"/>
  <c r="F190" i="1"/>
  <c r="G190" i="1"/>
  <c r="H190" i="1"/>
  <c r="J190" i="1"/>
  <c r="A189" i="1"/>
  <c r="C189" i="1"/>
  <c r="D189" i="1"/>
  <c r="F189" i="1"/>
  <c r="G189" i="1"/>
  <c r="H189" i="1"/>
  <c r="J189" i="1"/>
  <c r="A188" i="1"/>
  <c r="C188" i="1"/>
  <c r="D188" i="1"/>
  <c r="F188" i="1"/>
  <c r="G188" i="1"/>
  <c r="H188" i="1"/>
  <c r="J188" i="1"/>
  <c r="A187" i="1"/>
  <c r="C187" i="1"/>
  <c r="D187" i="1"/>
  <c r="F187" i="1"/>
  <c r="G187" i="1"/>
  <c r="H187" i="1"/>
  <c r="J187" i="1"/>
  <c r="A186" i="1"/>
  <c r="C186" i="1"/>
  <c r="D186" i="1"/>
  <c r="F186" i="1"/>
  <c r="G186" i="1"/>
  <c r="H186" i="1"/>
  <c r="J186" i="1"/>
  <c r="A185" i="1"/>
  <c r="C185" i="1"/>
  <c r="D185" i="1"/>
  <c r="F185" i="1"/>
  <c r="G185" i="1"/>
  <c r="H185" i="1"/>
  <c r="J185" i="1"/>
  <c r="A184" i="1"/>
  <c r="C184" i="1"/>
  <c r="D184" i="1"/>
  <c r="F184" i="1"/>
  <c r="G184" i="1"/>
  <c r="H184" i="1"/>
  <c r="J184" i="1"/>
  <c r="A183" i="1"/>
  <c r="C183" i="1"/>
  <c r="D183" i="1"/>
  <c r="F183" i="1"/>
  <c r="G183" i="1"/>
  <c r="H183" i="1"/>
  <c r="J183" i="1"/>
  <c r="A182" i="1"/>
  <c r="C182" i="1"/>
  <c r="D182" i="1"/>
  <c r="F182" i="1"/>
  <c r="G182" i="1"/>
  <c r="H182" i="1"/>
  <c r="J182" i="1"/>
  <c r="A181" i="1"/>
  <c r="D181" i="1"/>
  <c r="F181" i="1"/>
  <c r="G181" i="1"/>
  <c r="J181" i="1"/>
  <c r="A180" i="1"/>
  <c r="C180" i="1"/>
  <c r="D180" i="1"/>
  <c r="E180" i="1"/>
  <c r="F180" i="1"/>
  <c r="G180" i="1"/>
  <c r="J180" i="1"/>
  <c r="A179" i="1"/>
  <c r="D179" i="1"/>
  <c r="F179" i="1"/>
  <c r="G179" i="1"/>
  <c r="J179" i="1"/>
  <c r="A178" i="1"/>
  <c r="D178" i="1"/>
  <c r="F178" i="1"/>
  <c r="G178" i="1"/>
  <c r="J178" i="1"/>
  <c r="A177" i="1"/>
  <c r="C177" i="1"/>
  <c r="D177" i="1"/>
  <c r="F177" i="1"/>
  <c r="G177" i="1"/>
  <c r="J177" i="1"/>
  <c r="A176" i="1"/>
  <c r="D176" i="1"/>
  <c r="F176" i="1"/>
  <c r="G176" i="1"/>
  <c r="J176" i="1"/>
  <c r="A175" i="1"/>
  <c r="C175" i="1"/>
  <c r="D175" i="1"/>
  <c r="F175" i="1"/>
  <c r="G175" i="1"/>
  <c r="J175" i="1"/>
  <c r="L175" i="1"/>
  <c r="A174" i="1"/>
  <c r="C174" i="1"/>
  <c r="D174" i="1"/>
  <c r="F174" i="1"/>
  <c r="G174" i="1"/>
  <c r="J174" i="1"/>
  <c r="A173" i="1"/>
  <c r="D173" i="1"/>
  <c r="F173" i="1"/>
  <c r="G173" i="1"/>
  <c r="J173" i="1"/>
  <c r="A172" i="1"/>
  <c r="C172" i="1"/>
  <c r="E172" i="1"/>
  <c r="F172" i="1"/>
  <c r="G172" i="1"/>
  <c r="J172" i="1"/>
  <c r="A171" i="1"/>
  <c r="D171" i="1"/>
  <c r="E171" i="1"/>
  <c r="F171" i="1"/>
  <c r="G171" i="1"/>
  <c r="H171" i="1"/>
  <c r="I171" i="1"/>
  <c r="J171" i="1"/>
  <c r="A170" i="1"/>
  <c r="C170" i="1"/>
  <c r="D170" i="1"/>
  <c r="F170" i="1"/>
  <c r="G170" i="1"/>
  <c r="H170" i="1"/>
  <c r="I170" i="1"/>
  <c r="J170" i="1"/>
  <c r="L170" i="1"/>
  <c r="A169" i="1"/>
  <c r="E169" i="1"/>
  <c r="F169" i="1"/>
  <c r="G169" i="1"/>
  <c r="J169" i="1"/>
  <c r="A168" i="1"/>
  <c r="C168" i="1"/>
  <c r="D168" i="1"/>
  <c r="F168" i="1"/>
  <c r="G168" i="1"/>
  <c r="J168" i="1"/>
  <c r="A167" i="1"/>
  <c r="C167" i="1"/>
  <c r="D167" i="1"/>
  <c r="F167" i="1"/>
  <c r="G167" i="1"/>
  <c r="H167" i="1"/>
  <c r="I167" i="1"/>
  <c r="J167" i="1"/>
  <c r="L167" i="1"/>
  <c r="A166" i="1"/>
  <c r="C166" i="1"/>
  <c r="D166" i="1"/>
  <c r="F166" i="1"/>
  <c r="G166" i="1"/>
  <c r="J166" i="1"/>
  <c r="L166" i="1"/>
  <c r="A165" i="1"/>
  <c r="D165" i="1"/>
  <c r="E165" i="1"/>
  <c r="F165" i="1"/>
  <c r="G165" i="1"/>
  <c r="J165" i="1"/>
  <c r="A164" i="1"/>
  <c r="C164" i="1"/>
  <c r="D164" i="1"/>
  <c r="F164" i="1"/>
  <c r="G164" i="1"/>
  <c r="H164" i="1"/>
  <c r="I164" i="1"/>
  <c r="J164" i="1"/>
  <c r="L164" i="1"/>
  <c r="A163" i="1"/>
  <c r="C163" i="1"/>
  <c r="D163" i="1"/>
  <c r="F163" i="1"/>
  <c r="G163" i="1"/>
  <c r="H163" i="1"/>
  <c r="I163" i="1"/>
  <c r="J163" i="1"/>
  <c r="L163" i="1"/>
  <c r="A162" i="1"/>
  <c r="C162" i="1"/>
  <c r="D162" i="1"/>
  <c r="F162" i="1"/>
  <c r="G162" i="1"/>
  <c r="H162" i="1"/>
  <c r="I162" i="1"/>
  <c r="J162" i="1"/>
  <c r="L162" i="1"/>
  <c r="A161" i="1"/>
  <c r="C161" i="1"/>
  <c r="D161" i="1"/>
  <c r="F161" i="1"/>
  <c r="G161" i="1"/>
  <c r="H161" i="1"/>
  <c r="I161" i="1"/>
  <c r="J161" i="1"/>
  <c r="L161" i="1"/>
  <c r="A160" i="1"/>
  <c r="C160" i="1"/>
  <c r="D160" i="1"/>
  <c r="E160" i="1"/>
  <c r="F160" i="1"/>
  <c r="G160" i="1"/>
  <c r="J160" i="1"/>
  <c r="A159" i="1"/>
  <c r="C159" i="1"/>
  <c r="D159" i="1"/>
  <c r="F159" i="1"/>
  <c r="G159" i="1"/>
  <c r="H159" i="1"/>
  <c r="I159" i="1"/>
  <c r="J159" i="1"/>
  <c r="L159" i="1"/>
  <c r="A158" i="1"/>
  <c r="C158" i="1"/>
  <c r="D158" i="1"/>
  <c r="F158" i="1"/>
  <c r="G158" i="1"/>
  <c r="H158" i="1"/>
  <c r="I158" i="1"/>
  <c r="J158" i="1"/>
  <c r="L158" i="1"/>
  <c r="A157" i="1"/>
  <c r="C157" i="1"/>
  <c r="D157" i="1"/>
  <c r="F157" i="1"/>
  <c r="G157" i="1"/>
  <c r="H157" i="1"/>
  <c r="J157" i="1"/>
  <c r="A155" i="1"/>
  <c r="C155" i="1"/>
  <c r="D155" i="1"/>
  <c r="F155" i="1"/>
  <c r="G155" i="1"/>
  <c r="H155" i="1"/>
  <c r="I155" i="1"/>
  <c r="J155" i="1"/>
  <c r="L155" i="1"/>
  <c r="A156" i="1"/>
  <c r="C156" i="1"/>
  <c r="D156" i="1"/>
  <c r="E156" i="1"/>
  <c r="F156" i="1"/>
  <c r="G156" i="1"/>
  <c r="J156" i="1"/>
  <c r="A154" i="1"/>
  <c r="C154" i="1"/>
  <c r="D154" i="1"/>
  <c r="F154" i="1"/>
  <c r="G154" i="1"/>
  <c r="H154" i="1"/>
  <c r="J154" i="1"/>
  <c r="A153" i="1"/>
  <c r="C153" i="1"/>
  <c r="D153" i="1"/>
  <c r="F153" i="1"/>
  <c r="G153" i="1"/>
  <c r="H153" i="1"/>
  <c r="I153" i="1"/>
  <c r="J153" i="1"/>
  <c r="L153" i="1"/>
  <c r="A152" i="1"/>
  <c r="C152" i="1"/>
  <c r="D152" i="1"/>
  <c r="F152" i="1"/>
  <c r="G152" i="1"/>
  <c r="H152" i="1"/>
  <c r="J152" i="1"/>
  <c r="A151" i="1"/>
  <c r="C151" i="1"/>
  <c r="D151" i="1"/>
  <c r="F151" i="1"/>
  <c r="G151" i="1"/>
  <c r="J151" i="1"/>
  <c r="A150" i="1"/>
  <c r="C150" i="1"/>
  <c r="D150" i="1"/>
  <c r="F150" i="1"/>
  <c r="G150" i="1"/>
  <c r="H150" i="1"/>
  <c r="J150" i="1"/>
  <c r="A149" i="1"/>
  <c r="C149" i="1"/>
  <c r="D149" i="1"/>
  <c r="F149" i="1"/>
  <c r="G149" i="1"/>
  <c r="J149" i="1"/>
  <c r="L149" i="1"/>
  <c r="A148" i="1"/>
  <c r="C148" i="1"/>
  <c r="D148" i="1"/>
  <c r="F148" i="1"/>
  <c r="G148" i="1"/>
  <c r="J148" i="1"/>
  <c r="L148" i="1"/>
  <c r="A147" i="1"/>
  <c r="C147" i="1"/>
  <c r="D147" i="1"/>
  <c r="F147" i="1"/>
  <c r="G147" i="1"/>
  <c r="J147" i="1"/>
  <c r="L147" i="1"/>
  <c r="A146" i="1"/>
  <c r="C146" i="1"/>
  <c r="D146" i="1"/>
  <c r="F146" i="1"/>
  <c r="G146" i="1"/>
  <c r="H146" i="1"/>
  <c r="I146" i="1"/>
  <c r="J146" i="1"/>
  <c r="L146" i="1"/>
  <c r="A145" i="1"/>
  <c r="C145" i="1"/>
  <c r="D145" i="1"/>
  <c r="F145" i="1"/>
  <c r="G145" i="1"/>
  <c r="J145" i="1"/>
  <c r="A143" i="1"/>
  <c r="C143" i="1"/>
  <c r="D143" i="1"/>
  <c r="F143" i="1"/>
  <c r="G143" i="1"/>
  <c r="J143" i="1"/>
  <c r="A144" i="1"/>
  <c r="C144" i="1"/>
  <c r="D144" i="1"/>
  <c r="F144" i="1"/>
  <c r="G144" i="1"/>
  <c r="H144" i="1"/>
  <c r="I144" i="1"/>
  <c r="J144" i="1"/>
  <c r="L144" i="1"/>
  <c r="A142" i="1"/>
  <c r="C142" i="1"/>
  <c r="D142" i="1"/>
  <c r="F142" i="1"/>
  <c r="G142" i="1"/>
  <c r="H142" i="1"/>
  <c r="I142" i="1"/>
  <c r="J142" i="1"/>
  <c r="L142" i="1"/>
  <c r="A141" i="1"/>
  <c r="C141" i="1"/>
  <c r="D141" i="1"/>
  <c r="F141" i="1"/>
  <c r="G141" i="1"/>
  <c r="J141" i="1"/>
  <c r="A140" i="1"/>
  <c r="C140" i="1"/>
  <c r="D140" i="1"/>
  <c r="F140" i="1"/>
  <c r="G140" i="1"/>
  <c r="J140" i="1"/>
  <c r="A139" i="1"/>
  <c r="C139" i="1"/>
  <c r="D139" i="1"/>
  <c r="F139" i="1"/>
  <c r="G139" i="1"/>
  <c r="J139" i="1"/>
  <c r="A138" i="1"/>
  <c r="C138" i="1"/>
  <c r="D138" i="1"/>
  <c r="F138" i="1"/>
  <c r="G138" i="1"/>
  <c r="J138" i="1"/>
  <c r="A137" i="1"/>
  <c r="C137" i="1"/>
  <c r="D137" i="1"/>
  <c r="F137" i="1"/>
  <c r="G137" i="1"/>
  <c r="J137" i="1"/>
  <c r="A136" i="1"/>
  <c r="C136" i="1"/>
  <c r="D136" i="1"/>
  <c r="F136" i="1"/>
  <c r="G136" i="1"/>
  <c r="J136" i="1"/>
  <c r="A135" i="1"/>
  <c r="C135" i="1"/>
  <c r="D135" i="1"/>
  <c r="E135" i="1"/>
  <c r="F135" i="1"/>
  <c r="G135" i="1"/>
  <c r="H135" i="1"/>
  <c r="I135" i="1"/>
  <c r="J135" i="1"/>
  <c r="A134" i="1"/>
  <c r="C134" i="1"/>
  <c r="D134" i="1"/>
  <c r="F134" i="1"/>
  <c r="G134" i="1"/>
  <c r="J134" i="1"/>
  <c r="A133" i="1"/>
  <c r="C133" i="1"/>
  <c r="D133" i="1"/>
  <c r="F133" i="1"/>
  <c r="G133" i="1"/>
  <c r="H133" i="1"/>
  <c r="I133" i="1"/>
  <c r="J133" i="1"/>
  <c r="A132" i="1"/>
  <c r="C132" i="1"/>
  <c r="D132" i="1"/>
  <c r="F132" i="1"/>
  <c r="G132" i="1"/>
  <c r="H132" i="1"/>
  <c r="I132" i="1"/>
  <c r="J132" i="1"/>
  <c r="A130" i="1"/>
  <c r="C130" i="1"/>
  <c r="D130" i="1"/>
  <c r="F130" i="1"/>
  <c r="G130" i="1"/>
  <c r="J130" i="1"/>
  <c r="A131" i="1"/>
  <c r="C131" i="1"/>
  <c r="D131" i="1"/>
  <c r="F131" i="1"/>
  <c r="G131" i="1"/>
  <c r="H131" i="1"/>
  <c r="I131" i="1"/>
  <c r="J131" i="1"/>
  <c r="A128" i="1"/>
  <c r="C128" i="1"/>
  <c r="D128" i="1"/>
  <c r="E128" i="1"/>
  <c r="F128" i="1"/>
  <c r="G128" i="1"/>
  <c r="J128" i="1"/>
  <c r="A129" i="1"/>
  <c r="C129" i="1"/>
  <c r="D129" i="1"/>
  <c r="F129" i="1"/>
  <c r="G129" i="1"/>
  <c r="H129" i="1"/>
  <c r="I129" i="1"/>
  <c r="J129" i="1"/>
  <c r="A127" i="1"/>
  <c r="C127" i="1"/>
  <c r="D127" i="1"/>
  <c r="E127" i="1"/>
  <c r="F127" i="1"/>
  <c r="G127" i="1"/>
  <c r="J127" i="1"/>
  <c r="A125" i="1"/>
  <c r="C125" i="1"/>
  <c r="D125" i="1"/>
  <c r="F125" i="1"/>
  <c r="G125" i="1"/>
  <c r="J125" i="1"/>
  <c r="A126" i="1"/>
  <c r="C126" i="1"/>
  <c r="D126" i="1"/>
  <c r="F126" i="1"/>
  <c r="G126" i="1"/>
  <c r="J126" i="1"/>
  <c r="A123" i="1"/>
  <c r="C123" i="1"/>
  <c r="D123" i="1"/>
  <c r="F123" i="1"/>
  <c r="G123" i="1"/>
  <c r="J123" i="1"/>
  <c r="A124" i="1"/>
  <c r="C124" i="1"/>
  <c r="D124" i="1"/>
  <c r="E124" i="1"/>
  <c r="F124" i="1"/>
  <c r="G124" i="1"/>
  <c r="J124" i="1"/>
  <c r="A121" i="1"/>
  <c r="C121" i="1"/>
  <c r="D121" i="1"/>
  <c r="F121" i="1"/>
  <c r="G121" i="1"/>
  <c r="J121" i="1"/>
  <c r="A120" i="1"/>
  <c r="C120" i="1"/>
  <c r="D120" i="1"/>
  <c r="F120" i="1"/>
  <c r="G120" i="1"/>
  <c r="J120" i="1"/>
  <c r="A119" i="1"/>
  <c r="C119" i="1"/>
  <c r="D119" i="1"/>
  <c r="F119" i="1"/>
  <c r="G119" i="1"/>
  <c r="J119" i="1"/>
  <c r="A118" i="1"/>
  <c r="C118" i="1"/>
  <c r="D118" i="1"/>
  <c r="E118" i="1"/>
  <c r="F118" i="1"/>
  <c r="G118" i="1"/>
  <c r="J118" i="1"/>
  <c r="A117" i="1"/>
  <c r="C117" i="1"/>
  <c r="D117" i="1"/>
  <c r="F117" i="1"/>
  <c r="G117" i="1"/>
  <c r="J117" i="1"/>
  <c r="A115" i="1"/>
  <c r="C115" i="1"/>
  <c r="D115" i="1"/>
  <c r="F115" i="1"/>
  <c r="G115" i="1"/>
  <c r="J115" i="1"/>
  <c r="A116" i="1"/>
  <c r="C116" i="1"/>
  <c r="D116" i="1"/>
  <c r="F116" i="1"/>
  <c r="G116" i="1"/>
  <c r="J116" i="1"/>
  <c r="A114" i="1"/>
  <c r="C114" i="1"/>
  <c r="D114" i="1"/>
  <c r="E114" i="1"/>
  <c r="F114" i="1"/>
  <c r="G114" i="1"/>
  <c r="J114" i="1"/>
  <c r="A113" i="1"/>
  <c r="C113" i="1"/>
  <c r="D113" i="1"/>
  <c r="F113" i="1"/>
  <c r="G113" i="1"/>
  <c r="J113" i="1"/>
  <c r="A112" i="1"/>
  <c r="C112" i="1"/>
  <c r="D112" i="1"/>
  <c r="F112" i="1"/>
  <c r="G112" i="1"/>
  <c r="J112" i="1"/>
  <c r="A111" i="1"/>
  <c r="C111" i="1"/>
  <c r="D111" i="1"/>
  <c r="F111" i="1"/>
  <c r="G111" i="1"/>
  <c r="J111" i="1"/>
  <c r="A110" i="1"/>
  <c r="C110" i="1"/>
  <c r="D110" i="1"/>
  <c r="F110" i="1"/>
  <c r="G110" i="1"/>
  <c r="J110" i="1"/>
  <c r="A109" i="1"/>
  <c r="C109" i="1"/>
  <c r="D109" i="1"/>
  <c r="F109" i="1"/>
  <c r="G109" i="1"/>
  <c r="J109" i="1"/>
  <c r="A108" i="1"/>
  <c r="C108" i="1"/>
  <c r="D108" i="1"/>
  <c r="F108" i="1"/>
  <c r="G108" i="1"/>
  <c r="J108" i="1"/>
  <c r="A107" i="1"/>
  <c r="C107" i="1"/>
  <c r="D107" i="1"/>
  <c r="F107" i="1"/>
  <c r="G107" i="1"/>
  <c r="J107" i="1"/>
  <c r="A106" i="1"/>
  <c r="D106" i="1"/>
  <c r="F106" i="1"/>
  <c r="G106" i="1"/>
  <c r="J106" i="1"/>
  <c r="A105" i="1"/>
  <c r="C105" i="1"/>
  <c r="D105" i="1"/>
  <c r="F105" i="1"/>
  <c r="G105" i="1"/>
  <c r="J105" i="1"/>
  <c r="A104" i="1"/>
  <c r="C104" i="1"/>
  <c r="D104" i="1"/>
  <c r="E104" i="1"/>
  <c r="F104" i="1"/>
  <c r="G104" i="1"/>
  <c r="J104" i="1"/>
  <c r="A103" i="1"/>
  <c r="D103" i="1"/>
  <c r="F103" i="1"/>
  <c r="G103" i="1"/>
  <c r="J103" i="1"/>
  <c r="A102" i="1"/>
  <c r="C102" i="1"/>
  <c r="D102" i="1"/>
  <c r="F102" i="1"/>
  <c r="G102" i="1"/>
  <c r="J102" i="1"/>
  <c r="A101" i="1"/>
  <c r="C101" i="1"/>
  <c r="D101" i="1"/>
  <c r="F101" i="1"/>
  <c r="G101" i="1"/>
  <c r="H101" i="1"/>
  <c r="I101" i="1"/>
  <c r="J101" i="1"/>
  <c r="A100" i="1"/>
  <c r="D100" i="1"/>
  <c r="F100" i="1"/>
  <c r="G100" i="1"/>
  <c r="J100" i="1"/>
  <c r="A99" i="1"/>
  <c r="D99" i="1"/>
  <c r="F99" i="1"/>
  <c r="G99" i="1"/>
  <c r="J99" i="1"/>
  <c r="A98" i="1"/>
  <c r="C98" i="1"/>
  <c r="D98" i="1"/>
  <c r="E98" i="1"/>
  <c r="F98" i="1"/>
  <c r="G98" i="1"/>
  <c r="J98" i="1"/>
  <c r="A97" i="1"/>
  <c r="C97" i="1"/>
  <c r="D97" i="1"/>
  <c r="F97" i="1"/>
  <c r="G97" i="1"/>
  <c r="J97" i="1"/>
  <c r="A96" i="1"/>
  <c r="D96" i="1"/>
  <c r="F96" i="1"/>
  <c r="G96" i="1"/>
  <c r="J96" i="1"/>
  <c r="A95" i="1"/>
  <c r="C95" i="1"/>
  <c r="D95" i="1"/>
  <c r="E95" i="1"/>
  <c r="F95" i="1"/>
  <c r="G95" i="1"/>
  <c r="J95" i="1"/>
  <c r="A94" i="1"/>
  <c r="C94" i="1"/>
  <c r="D94" i="1"/>
  <c r="F94" i="1"/>
  <c r="G94" i="1"/>
  <c r="J94" i="1"/>
  <c r="A93" i="1"/>
  <c r="C93" i="1"/>
  <c r="D93" i="1"/>
  <c r="E93" i="1"/>
  <c r="F93" i="1"/>
  <c r="G93" i="1"/>
  <c r="J93" i="1"/>
  <c r="A92" i="1"/>
  <c r="C92" i="1"/>
  <c r="D92" i="1"/>
  <c r="F92" i="1"/>
  <c r="G92" i="1"/>
  <c r="J92" i="1"/>
  <c r="A91" i="1"/>
  <c r="C91" i="1"/>
  <c r="D91" i="1"/>
  <c r="F91" i="1"/>
  <c r="G91" i="1"/>
  <c r="J91" i="1"/>
  <c r="A90" i="1"/>
  <c r="C90" i="1"/>
  <c r="D90" i="1"/>
  <c r="F90" i="1"/>
  <c r="G90" i="1"/>
  <c r="J90" i="1"/>
  <c r="L90" i="1"/>
  <c r="A88" i="1"/>
  <c r="C88" i="1"/>
  <c r="D88" i="1"/>
  <c r="F88" i="1"/>
  <c r="G88" i="1"/>
  <c r="J88" i="1"/>
  <c r="A89" i="1"/>
  <c r="C89" i="1"/>
  <c r="D89" i="1"/>
  <c r="F89" i="1"/>
  <c r="G89" i="1"/>
  <c r="J89" i="1"/>
  <c r="L89" i="1"/>
  <c r="A87" i="1"/>
  <c r="C87" i="1"/>
  <c r="D87" i="1"/>
  <c r="F87" i="1"/>
  <c r="G87" i="1"/>
  <c r="J87" i="1"/>
  <c r="A86" i="1"/>
  <c r="C86" i="1"/>
  <c r="D86" i="1"/>
  <c r="F86" i="1"/>
  <c r="G86" i="1"/>
  <c r="J86" i="1"/>
  <c r="L86" i="1"/>
  <c r="A85" i="1"/>
  <c r="C85" i="1"/>
  <c r="D85" i="1"/>
  <c r="E85" i="1"/>
  <c r="F85" i="1"/>
  <c r="G85" i="1"/>
  <c r="J85" i="1"/>
  <c r="A84" i="1"/>
  <c r="C84" i="1"/>
  <c r="D84" i="1"/>
  <c r="F84" i="1"/>
  <c r="G84" i="1"/>
  <c r="J84" i="1"/>
  <c r="A83" i="1"/>
  <c r="C83" i="1"/>
  <c r="D83" i="1"/>
  <c r="E83" i="1"/>
  <c r="F83" i="1"/>
  <c r="G83" i="1"/>
  <c r="J83" i="1"/>
  <c r="A82" i="1"/>
  <c r="C82" i="1"/>
  <c r="D82" i="1"/>
  <c r="E82" i="1"/>
  <c r="F82" i="1"/>
  <c r="G82" i="1"/>
  <c r="H82" i="1"/>
  <c r="J82" i="1"/>
  <c r="A81" i="1"/>
  <c r="C81" i="1"/>
  <c r="D81" i="1"/>
  <c r="E81" i="1"/>
  <c r="F81" i="1"/>
  <c r="G81" i="1"/>
  <c r="J81" i="1"/>
  <c r="A80" i="1"/>
  <c r="C80" i="1"/>
  <c r="D80" i="1"/>
  <c r="F80" i="1"/>
  <c r="G80" i="1"/>
  <c r="J80" i="1"/>
  <c r="L80" i="1"/>
  <c r="A79" i="1"/>
  <c r="C79" i="1"/>
  <c r="D79" i="1"/>
  <c r="F79" i="1"/>
  <c r="G79" i="1"/>
  <c r="J79" i="1"/>
  <c r="L79" i="1"/>
  <c r="A78" i="1"/>
  <c r="C78" i="1"/>
  <c r="D78" i="1"/>
  <c r="E78" i="1"/>
  <c r="F78" i="1"/>
  <c r="G78" i="1"/>
  <c r="J78" i="1"/>
  <c r="A77" i="1"/>
  <c r="C77" i="1"/>
  <c r="D77" i="1"/>
  <c r="F77" i="1"/>
  <c r="G77" i="1"/>
  <c r="J77" i="1"/>
  <c r="L77" i="1"/>
  <c r="A76" i="1"/>
  <c r="C76" i="1"/>
  <c r="D76" i="1"/>
  <c r="E76" i="1"/>
  <c r="F76" i="1"/>
  <c r="G76" i="1"/>
  <c r="J76" i="1"/>
  <c r="A75" i="1"/>
  <c r="C75" i="1"/>
  <c r="D75" i="1"/>
  <c r="F75" i="1"/>
  <c r="G75" i="1"/>
  <c r="J75" i="1"/>
  <c r="A74" i="1"/>
  <c r="C74" i="1"/>
  <c r="D74" i="1"/>
  <c r="F74" i="1"/>
  <c r="G74" i="1"/>
  <c r="H74" i="1"/>
  <c r="I74" i="1"/>
  <c r="J74" i="1"/>
  <c r="L74" i="1"/>
  <c r="A73" i="1"/>
  <c r="C73" i="1"/>
  <c r="D73" i="1"/>
  <c r="E73" i="1"/>
  <c r="F73" i="1"/>
  <c r="G73" i="1"/>
  <c r="J73" i="1"/>
  <c r="A72" i="1"/>
  <c r="C72" i="1"/>
  <c r="D72" i="1"/>
  <c r="F72" i="1"/>
  <c r="G72" i="1"/>
  <c r="H72" i="1"/>
  <c r="I72" i="1"/>
  <c r="J72" i="1"/>
  <c r="L72" i="1"/>
  <c r="A71" i="1"/>
  <c r="C71" i="1"/>
  <c r="D71" i="1"/>
  <c r="F71" i="1"/>
  <c r="G71" i="1"/>
  <c r="J71" i="1"/>
  <c r="A70" i="1"/>
  <c r="C70" i="1"/>
  <c r="D70" i="1"/>
  <c r="F70" i="1"/>
  <c r="G70" i="1"/>
  <c r="J70" i="1"/>
  <c r="L70" i="1"/>
  <c r="A69" i="1"/>
  <c r="C69" i="1"/>
  <c r="D69" i="1"/>
  <c r="F69" i="1"/>
  <c r="G69" i="1"/>
  <c r="J69" i="1"/>
  <c r="A68" i="1"/>
  <c r="C68" i="1"/>
  <c r="D68" i="1"/>
  <c r="F68" i="1"/>
  <c r="G68" i="1"/>
  <c r="J68" i="1"/>
  <c r="L68" i="1"/>
  <c r="A67" i="1"/>
  <c r="C67" i="1"/>
  <c r="D67" i="1"/>
  <c r="F67" i="1"/>
  <c r="G67" i="1"/>
  <c r="J67" i="1"/>
  <c r="A66" i="1"/>
  <c r="C66" i="1"/>
  <c r="D66" i="1"/>
  <c r="F66" i="1"/>
  <c r="G66" i="1"/>
  <c r="J66" i="1"/>
  <c r="L66" i="1"/>
  <c r="A65" i="1"/>
  <c r="C65" i="1"/>
  <c r="D65" i="1"/>
  <c r="F65" i="1"/>
  <c r="G65" i="1"/>
  <c r="J65" i="1"/>
  <c r="L65" i="1"/>
  <c r="A64" i="1"/>
  <c r="C64" i="1"/>
  <c r="D64" i="1"/>
  <c r="F64" i="1"/>
  <c r="G64" i="1"/>
  <c r="J64" i="1"/>
  <c r="L64" i="1"/>
  <c r="A63" i="1"/>
  <c r="C63" i="1"/>
  <c r="D63" i="1"/>
  <c r="F63" i="1"/>
  <c r="G63" i="1"/>
  <c r="J63" i="1"/>
  <c r="A61" i="1"/>
  <c r="C61" i="1"/>
  <c r="D61" i="1"/>
  <c r="F61" i="1"/>
  <c r="G61" i="1"/>
  <c r="J61" i="1"/>
  <c r="L61" i="1"/>
  <c r="A62" i="1"/>
  <c r="C62" i="1"/>
  <c r="D62" i="1"/>
  <c r="F62" i="1"/>
  <c r="G62" i="1"/>
  <c r="J62" i="1"/>
  <c r="A59" i="1"/>
  <c r="C59" i="1"/>
  <c r="D59" i="1"/>
  <c r="F59" i="1"/>
  <c r="G59" i="1"/>
  <c r="J59" i="1"/>
  <c r="L59" i="1"/>
  <c r="A60" i="1"/>
  <c r="C60" i="1"/>
  <c r="D60" i="1"/>
  <c r="F60" i="1"/>
  <c r="G60" i="1"/>
  <c r="J60" i="1"/>
  <c r="L60" i="1"/>
  <c r="A58" i="1"/>
  <c r="C58" i="1"/>
  <c r="D58" i="1"/>
  <c r="F58" i="1"/>
  <c r="G58" i="1"/>
  <c r="J58" i="1"/>
  <c r="L58" i="1"/>
  <c r="A56" i="1"/>
  <c r="C56" i="1"/>
  <c r="D56" i="1"/>
  <c r="F56" i="1"/>
  <c r="G56" i="1"/>
  <c r="J56" i="1"/>
  <c r="A57" i="1"/>
  <c r="C57" i="1"/>
  <c r="D57" i="1"/>
  <c r="E57" i="1"/>
  <c r="F57" i="1"/>
  <c r="G57" i="1"/>
  <c r="J57" i="1"/>
  <c r="A55" i="1"/>
  <c r="C55" i="1"/>
  <c r="D55" i="1"/>
  <c r="F55" i="1"/>
  <c r="G55" i="1"/>
  <c r="J55" i="1"/>
  <c r="A54" i="1"/>
  <c r="C54" i="1"/>
  <c r="D54" i="1"/>
  <c r="F54" i="1"/>
  <c r="G54" i="1"/>
  <c r="J54" i="1"/>
  <c r="L54" i="1"/>
  <c r="A52" i="1"/>
  <c r="C52" i="1"/>
  <c r="D52" i="1"/>
  <c r="F52" i="1"/>
  <c r="G52" i="1"/>
  <c r="J52" i="1"/>
  <c r="L52" i="1"/>
  <c r="A53" i="1"/>
  <c r="C53" i="1"/>
  <c r="F53" i="1"/>
  <c r="G53" i="1"/>
  <c r="H53" i="1"/>
  <c r="I53" i="1"/>
  <c r="J53" i="1"/>
  <c r="L53" i="1"/>
  <c r="A51" i="1"/>
  <c r="C51" i="1"/>
  <c r="D51" i="1"/>
  <c r="F51" i="1"/>
  <c r="G51" i="1"/>
  <c r="J51" i="1"/>
  <c r="A50" i="1"/>
  <c r="C50" i="1"/>
  <c r="D50" i="1"/>
  <c r="F50" i="1"/>
  <c r="G50" i="1"/>
  <c r="H50" i="1"/>
  <c r="I50" i="1"/>
  <c r="J50" i="1"/>
  <c r="A49" i="1"/>
  <c r="C49" i="1"/>
  <c r="D49" i="1"/>
  <c r="F49" i="1"/>
  <c r="G49" i="1"/>
  <c r="J49" i="1"/>
  <c r="A48" i="1"/>
  <c r="C48" i="1"/>
  <c r="D48" i="1"/>
  <c r="E48" i="1"/>
  <c r="F48" i="1"/>
  <c r="G48" i="1"/>
  <c r="J48" i="1"/>
  <c r="A47" i="1"/>
  <c r="C47" i="1"/>
  <c r="D47" i="1"/>
  <c r="F47" i="1"/>
  <c r="G47" i="1"/>
  <c r="J47" i="1"/>
  <c r="A46" i="1"/>
  <c r="C46" i="1"/>
  <c r="D46" i="1"/>
  <c r="F46" i="1"/>
  <c r="G46" i="1"/>
  <c r="J46" i="1"/>
  <c r="L46" i="1"/>
  <c r="A45" i="1"/>
  <c r="C45" i="1"/>
  <c r="D45" i="1"/>
  <c r="F45" i="1"/>
  <c r="G45" i="1"/>
  <c r="J45" i="1"/>
  <c r="A43" i="1"/>
  <c r="C43" i="1"/>
  <c r="D43" i="1"/>
  <c r="F43" i="1"/>
  <c r="G43" i="1"/>
  <c r="J43" i="1"/>
  <c r="A44" i="1"/>
  <c r="C44" i="1"/>
  <c r="D44" i="1"/>
  <c r="F44" i="1"/>
  <c r="G44" i="1"/>
  <c r="J44" i="1"/>
  <c r="A42" i="1"/>
  <c r="C42" i="1"/>
  <c r="D42" i="1"/>
  <c r="F42" i="1"/>
  <c r="G42" i="1"/>
  <c r="J42" i="1"/>
  <c r="A41" i="1"/>
  <c r="C41" i="1"/>
  <c r="D41" i="1"/>
  <c r="F41" i="1"/>
  <c r="G41" i="1"/>
  <c r="J41" i="1"/>
  <c r="A40" i="1"/>
  <c r="C40" i="1"/>
  <c r="D40" i="1"/>
  <c r="F40" i="1"/>
  <c r="G40" i="1"/>
  <c r="H40" i="1"/>
  <c r="I40" i="1"/>
  <c r="J40" i="1"/>
  <c r="L40" i="1"/>
  <c r="A39" i="1"/>
  <c r="C39" i="1"/>
  <c r="D39" i="1"/>
  <c r="E39" i="1"/>
  <c r="F39" i="1"/>
  <c r="G39" i="1"/>
  <c r="J39" i="1"/>
  <c r="A36" i="1"/>
  <c r="C36" i="1"/>
  <c r="D36" i="1"/>
  <c r="F36" i="1"/>
  <c r="G36" i="1"/>
  <c r="J36" i="1"/>
  <c r="L36" i="1"/>
  <c r="A38" i="1"/>
  <c r="C38" i="1"/>
  <c r="D38" i="1"/>
  <c r="F38" i="1"/>
  <c r="G38" i="1"/>
  <c r="J38" i="1"/>
  <c r="L38" i="1"/>
  <c r="A37" i="1"/>
  <c r="C37" i="1"/>
  <c r="D37" i="1"/>
  <c r="F37" i="1"/>
  <c r="G37" i="1"/>
  <c r="J37" i="1"/>
  <c r="A35" i="1"/>
  <c r="C35" i="1"/>
  <c r="D35" i="1"/>
  <c r="F35" i="1"/>
  <c r="G35" i="1"/>
  <c r="H35" i="1"/>
  <c r="J35" i="1"/>
  <c r="L35" i="1"/>
  <c r="A34" i="1"/>
  <c r="C34" i="1"/>
  <c r="D34" i="1"/>
  <c r="F34" i="1"/>
  <c r="G34" i="1"/>
  <c r="J34" i="1"/>
  <c r="A33" i="1"/>
  <c r="C33" i="1"/>
  <c r="D33" i="1"/>
  <c r="E33" i="1"/>
  <c r="F33" i="1"/>
  <c r="G33" i="1"/>
  <c r="J33" i="1"/>
  <c r="A32" i="1"/>
  <c r="D32" i="1"/>
  <c r="E32" i="1"/>
  <c r="F32" i="1"/>
  <c r="G32" i="1"/>
  <c r="J32" i="1"/>
  <c r="A31" i="1"/>
  <c r="C31" i="1"/>
  <c r="D31" i="1"/>
  <c r="F31" i="1"/>
  <c r="G31" i="1"/>
  <c r="J31" i="1"/>
  <c r="A30" i="1"/>
  <c r="C30" i="1"/>
  <c r="D30" i="1"/>
  <c r="F30" i="1"/>
  <c r="G30" i="1"/>
  <c r="H30" i="1"/>
  <c r="J30" i="1"/>
  <c r="L30" i="1"/>
  <c r="A29" i="1"/>
  <c r="C29" i="1"/>
  <c r="D29" i="1"/>
  <c r="F29" i="1"/>
  <c r="G29" i="1"/>
  <c r="H29" i="1"/>
  <c r="I29" i="1"/>
  <c r="J29" i="1"/>
  <c r="A28" i="1"/>
  <c r="C28" i="1"/>
  <c r="D28" i="1"/>
  <c r="F28" i="1"/>
  <c r="G28" i="1"/>
  <c r="H28" i="1"/>
  <c r="J28" i="1"/>
  <c r="L28" i="1"/>
  <c r="A26" i="1"/>
  <c r="C26" i="1"/>
  <c r="D26" i="1"/>
  <c r="F26" i="1"/>
  <c r="G26" i="1"/>
  <c r="J26" i="1"/>
  <c r="L26" i="1"/>
  <c r="A27" i="1"/>
  <c r="C27" i="1"/>
  <c r="D27" i="1"/>
  <c r="F27" i="1"/>
  <c r="G27" i="1"/>
  <c r="J27" i="1"/>
  <c r="L27" i="1"/>
  <c r="A25" i="1"/>
  <c r="C25" i="1"/>
  <c r="D25" i="1"/>
  <c r="F25" i="1"/>
  <c r="G25" i="1"/>
  <c r="H25" i="1"/>
  <c r="I25" i="1"/>
  <c r="J25" i="1"/>
  <c r="L25" i="1"/>
  <c r="A24" i="1"/>
  <c r="C24" i="1"/>
  <c r="D24" i="1"/>
  <c r="F24" i="1"/>
  <c r="G24" i="1"/>
  <c r="J24" i="1"/>
  <c r="L24" i="1"/>
  <c r="A22" i="1"/>
  <c r="C22" i="1"/>
  <c r="D22" i="1"/>
  <c r="F22" i="1"/>
  <c r="G22" i="1"/>
  <c r="H22" i="1"/>
  <c r="I22" i="1"/>
  <c r="J22" i="1"/>
  <c r="A23" i="1"/>
  <c r="C23" i="1"/>
  <c r="D23" i="1"/>
  <c r="F23" i="1"/>
  <c r="G23" i="1"/>
  <c r="J23" i="1"/>
  <c r="L23" i="1"/>
  <c r="A21" i="1"/>
  <c r="C21" i="1"/>
  <c r="D21" i="1"/>
  <c r="F21" i="1"/>
  <c r="G21" i="1"/>
  <c r="J21" i="1"/>
  <c r="L21" i="1"/>
  <c r="A18" i="1"/>
  <c r="C18" i="1"/>
  <c r="D18" i="1"/>
  <c r="F18" i="1"/>
  <c r="G18" i="1"/>
  <c r="H18" i="1"/>
  <c r="I18" i="1"/>
  <c r="J18" i="1"/>
  <c r="A20" i="1"/>
  <c r="C20" i="1"/>
  <c r="D20" i="1"/>
  <c r="F20" i="1"/>
  <c r="G20" i="1"/>
  <c r="J20" i="1"/>
  <c r="L20" i="1"/>
  <c r="A19" i="1"/>
  <c r="C19" i="1"/>
  <c r="D19" i="1"/>
  <c r="F19" i="1"/>
  <c r="G19" i="1"/>
  <c r="J19" i="1"/>
  <c r="L19" i="1"/>
  <c r="A17" i="1"/>
  <c r="C17" i="1"/>
  <c r="D17" i="1"/>
  <c r="F17" i="1"/>
  <c r="G17" i="1"/>
  <c r="H17" i="1"/>
  <c r="I17" i="1"/>
  <c r="J17" i="1"/>
  <c r="L17" i="1"/>
  <c r="A16" i="1"/>
  <c r="C16" i="1"/>
  <c r="D16" i="1"/>
  <c r="F16" i="1"/>
  <c r="G16" i="1"/>
  <c r="J16" i="1"/>
  <c r="L16" i="1"/>
  <c r="A15" i="1"/>
  <c r="C15" i="1"/>
  <c r="D15" i="1"/>
  <c r="F15" i="1"/>
  <c r="G15" i="1"/>
  <c r="J15" i="1"/>
  <c r="L15" i="1"/>
  <c r="A14" i="1"/>
  <c r="C14" i="1"/>
  <c r="D14" i="1"/>
  <c r="F14" i="1"/>
  <c r="G14" i="1"/>
  <c r="J14" i="1"/>
  <c r="A13" i="1"/>
  <c r="C13" i="1"/>
  <c r="D13" i="1"/>
  <c r="F13" i="1"/>
  <c r="G13" i="1"/>
  <c r="J13" i="1"/>
  <c r="L13" i="1"/>
  <c r="A12" i="1"/>
  <c r="C12" i="1"/>
  <c r="D12" i="1"/>
  <c r="F12" i="1"/>
  <c r="G12" i="1"/>
  <c r="J12" i="1"/>
  <c r="L12" i="1"/>
  <c r="A11" i="1"/>
  <c r="C11" i="1"/>
  <c r="D11" i="1"/>
  <c r="E11" i="1"/>
  <c r="F11" i="1"/>
  <c r="G11" i="1"/>
  <c r="J11" i="1"/>
  <c r="A10" i="1"/>
  <c r="C10" i="1"/>
  <c r="D10" i="1"/>
  <c r="F10" i="1"/>
  <c r="G10" i="1"/>
  <c r="H10" i="1"/>
  <c r="I10" i="1"/>
  <c r="J10" i="1"/>
  <c r="L10" i="1"/>
  <c r="A9" i="1"/>
  <c r="C9" i="1"/>
  <c r="D9" i="1"/>
  <c r="E9" i="1"/>
  <c r="F9" i="1"/>
  <c r="G9" i="1"/>
  <c r="J9" i="1"/>
  <c r="A8" i="1"/>
  <c r="C8" i="1"/>
  <c r="D8" i="1"/>
  <c r="F8" i="1"/>
  <c r="G8" i="1"/>
  <c r="J8" i="1"/>
  <c r="L8" i="1"/>
  <c r="A6" i="1"/>
  <c r="C6" i="1"/>
  <c r="D6" i="1"/>
  <c r="F6" i="1"/>
  <c r="G6" i="1"/>
  <c r="H6" i="1"/>
  <c r="I6" i="1"/>
  <c r="J6" i="1"/>
  <c r="L6" i="1"/>
  <c r="A7" i="1"/>
  <c r="C7" i="1"/>
  <c r="D7" i="1"/>
  <c r="E7" i="1"/>
  <c r="F7" i="1"/>
  <c r="G7" i="1"/>
  <c r="J7" i="1"/>
  <c r="A5" i="1"/>
  <c r="C5" i="1"/>
  <c r="D5" i="1"/>
  <c r="E5" i="1"/>
  <c r="F5" i="1"/>
  <c r="G5" i="1"/>
  <c r="J5" i="1"/>
  <c r="A4" i="1"/>
  <c r="C4" i="1"/>
  <c r="D4" i="1"/>
  <c r="F4" i="1"/>
  <c r="G4" i="1"/>
  <c r="J4" i="1"/>
  <c r="L4" i="1"/>
  <c r="A3" i="1"/>
  <c r="C3" i="1"/>
  <c r="D3" i="1"/>
  <c r="E3" i="1"/>
  <c r="F3" i="1"/>
  <c r="G3" i="1"/>
  <c r="J3" i="1"/>
  <c r="A2" i="1"/>
  <c r="C2" i="1"/>
  <c r="D2" i="1"/>
  <c r="E2" i="1"/>
  <c r="F2" i="1"/>
  <c r="G2" i="1"/>
  <c r="J2" i="1"/>
</calcChain>
</file>

<file path=xl/sharedStrings.xml><?xml version="1.0" encoding="utf-8"?>
<sst xmlns="http://schemas.openxmlformats.org/spreadsheetml/2006/main" count="15001" uniqueCount="23">
  <si>
    <t>01-1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будівництва та обслуговування житлового будинку, господарських будівель і споруд (присадибна ділянка)</t>
  </si>
  <si>
    <t>Призначення грошової допомоги особі, яка проживає разом з особою з інвалідністю І чи ІІ групи внаслідок психічного розладу, яка за висновком лікарсько-консультативної комісії закладу охорони здоров'я потребує постійного стороннього догляду, на догляд за нею</t>
  </si>
  <si>
    <t>Державна реєстрація змін до відомостей про юридичну особу, що містяться в Єдиному державному реєстрі юридичних осіб, фізичних осіб – підприємців та громадських формувань, у тому числі змін до установчих документів юридичної особи (крім громадського формування та релігійної організації)</t>
  </si>
  <si>
    <t>Видача нового посвідчення учасникам бойових дій, особам з інвалідністю внаслідок війни, учасникам війни, членам сім’ї загиблого (померлого) ветерана війни, членам сім’ї загиблого (померлого) Захисника чи Захисниці України, постраждалим учасникам Революції Гідності замість непридатного / втраченого та у разі зміни особистих даних</t>
  </si>
  <si>
    <t>Видача рішення про передачу у власність, надання у постійне користування та оренду земельних ділянок, що перебувають у комунальній власності, Розпорядження про надання земельної ділянки державної власності у постійне користування, оренду, щодо встановлення (відновлення) меж земельної ділянки в натурі (на місцевості) та надання земельної ділянки державної власності у власність.</t>
  </si>
  <si>
    <t>uid</t>
  </si>
  <si>
    <t>registrationDateTime</t>
  </si>
  <si>
    <t>code</t>
  </si>
  <si>
    <t>title</t>
  </si>
  <si>
    <t>authorityId</t>
  </si>
  <si>
    <t>authorityName</t>
  </si>
  <si>
    <t>applicantType</t>
  </si>
  <si>
    <t>applicantName</t>
  </si>
  <si>
    <t>applicantId</t>
  </si>
  <si>
    <t>status</t>
  </si>
  <si>
    <t>providDate</t>
  </si>
  <si>
    <t>amount</t>
  </si>
  <si>
    <t>currency</t>
  </si>
  <si>
    <t>issuedDate</t>
  </si>
  <si>
    <t>1_6124/2129-11/2024/</t>
  </si>
  <si>
    <t>null</t>
  </si>
  <si>
    <t>Фізична особа</t>
  </si>
  <si>
    <t>UAH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</si>
</sst>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dd\.mm\.yyyy;@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10" xfId="0" applyBorder="1"/>
    <xf numFmtId="0" fontId="0" fillId="0" borderId="10" xfId="0" applyBorder="1" applyAlignment="1"/>
    <xf numFmtId="0" fontId="0" fillId="0" borderId="0" xfId="0" applyBorder="1"/>
    <xf numFmtId="0" fontId="0" fillId="0" borderId="0" xfId="0" applyBorder="1" applyAlignment="1"/>
    <xf numFmtId="164" fontId="0" fillId="0" borderId="10" xfId="0" applyNumberFormat="1" applyBorder="1" applyAlignment="1">
      <alignment horizontal="left" vertical="top"/>
    </xf>
    <xf numFmtId="164" fontId="0" fillId="0" borderId="10" xfId="0" applyNumberFormat="1" applyBorder="1" applyAlignment="1">
      <alignment horizontal="left"/>
    </xf>
    <xf numFmtId="165" fontId="0" fillId="0" borderId="10" xfId="0" applyNumberFormat="1" applyBorder="1"/>
    <xf numFmtId="165" fontId="0" fillId="0" borderId="10" xfId="0" applyNumberFormat="1" applyBorder="1" applyAlignment="1">
      <alignment horizontal="left" vertical="top"/>
    </xf>
    <xf numFmtId="165" fontId="0" fillId="0" borderId="0" xfId="0" applyNumberFormat="1" applyBorder="1"/>
  </cellXfs>
  <cellStyles count="42">
    <cellStyle name="20% – колірна тема 1" xfId="19" builtinId="30" customBuiltin="1"/>
    <cellStyle name="20% – колірна тема 2" xfId="23" builtinId="34" customBuiltin="1"/>
    <cellStyle name="20% – колірна тема 3" xfId="27" builtinId="38" customBuiltin="1"/>
    <cellStyle name="20% – колірна тема 4" xfId="31" builtinId="42" customBuiltin="1"/>
    <cellStyle name="20% – колірна тема 5" xfId="35" builtinId="46" customBuiltin="1"/>
    <cellStyle name="20% – колірна тема 6" xfId="39" builtinId="50" customBuiltin="1"/>
    <cellStyle name="40% – колірна тема 1" xfId="20" builtinId="31" customBuiltin="1"/>
    <cellStyle name="40% – колірна тема 2" xfId="24" builtinId="35" customBuiltin="1"/>
    <cellStyle name="40% – колірна тема 3" xfId="28" builtinId="39" customBuiltin="1"/>
    <cellStyle name="40% – колірна тема 4" xfId="32" builtinId="43" customBuiltin="1"/>
    <cellStyle name="40% – колірна тема 5" xfId="36" builtinId="47" customBuiltin="1"/>
    <cellStyle name="40% – колірна тема 6" xfId="40" builtinId="51" customBuiltin="1"/>
    <cellStyle name="60% – колірна тема 1" xfId="21" builtinId="32" customBuiltin="1"/>
    <cellStyle name="60% – колірна тема 2" xfId="25" builtinId="36" customBuiltin="1"/>
    <cellStyle name="60% – колірна тема 3" xfId="29" builtinId="40" customBuiltin="1"/>
    <cellStyle name="60% – колірна тема 4" xfId="33" builtinId="44" customBuiltin="1"/>
    <cellStyle name="60% – колірна тема 5" xfId="37" builtinId="48" customBuiltin="1"/>
    <cellStyle name="60% – колірна тема 6" xfId="41" builtinId="52" customBuiltin="1"/>
    <cellStyle name="Ввід" xfId="9" builtinId="20" customBuiltin="1"/>
    <cellStyle name="Гарний" xfId="6" builtinId="26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'язана клітинка" xfId="12" builtinId="24" customBuiltin="1"/>
    <cellStyle name="Колірна тема 1" xfId="18" builtinId="29" customBuiltin="1"/>
    <cellStyle name="Колірна тема 2" xfId="22" builtinId="33" customBuiltin="1"/>
    <cellStyle name="Колірна тема 3" xfId="26" builtinId="37" customBuiltin="1"/>
    <cellStyle name="Колірна тема 4" xfId="30" builtinId="41" customBuiltin="1"/>
    <cellStyle name="Колірна тема 5" xfId="34" builtinId="45" customBuiltin="1"/>
    <cellStyle name="Колірна тема 6" xfId="38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70"/>
  <sheetViews>
    <sheetView tabSelected="1" topLeftCell="C1" workbookViewId="0">
      <selection activeCell="C2" sqref="A2:XFD2"/>
    </sheetView>
  </sheetViews>
  <sheetFormatPr defaultRowHeight="14.4" x14ac:dyDescent="0.3"/>
  <cols>
    <col min="1" max="1" width="26" style="3" customWidth="1"/>
    <col min="2" max="2" width="20" style="3" customWidth="1"/>
    <col min="3" max="3" width="12.88671875" style="3" customWidth="1"/>
    <col min="4" max="4" width="49.109375" style="4" customWidth="1"/>
    <col min="5" max="5" width="14" style="3" customWidth="1"/>
    <col min="6" max="6" width="20.33203125" style="3" customWidth="1"/>
    <col min="7" max="7" width="17.88671875" style="3" customWidth="1"/>
    <col min="8" max="8" width="16.5546875" style="3" customWidth="1"/>
    <col min="9" max="9" width="15.5546875" style="3" customWidth="1"/>
    <col min="10" max="10" width="13.44140625" style="3" customWidth="1"/>
    <col min="11" max="11" width="15.5546875" style="9" customWidth="1"/>
    <col min="12" max="13" width="9.109375" style="3"/>
    <col min="14" max="14" width="10.44140625" style="3" bestFit="1" customWidth="1"/>
  </cols>
  <sheetData>
    <row r="1" spans="1:14" x14ac:dyDescent="0.3">
      <c r="A1" s="1" t="s">
        <v>5</v>
      </c>
      <c r="B1" s="1" t="s">
        <v>6</v>
      </c>
      <c r="C1" s="1" t="s">
        <v>7</v>
      </c>
      <c r="D1" s="2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7" t="s">
        <v>15</v>
      </c>
      <c r="L1" s="1" t="s">
        <v>16</v>
      </c>
      <c r="M1" s="1" t="s">
        <v>17</v>
      </c>
      <c r="N1" s="1" t="s">
        <v>18</v>
      </c>
    </row>
    <row r="2" spans="1:14" x14ac:dyDescent="0.3">
      <c r="A2" s="1" t="str">
        <f>"4_1203/03193413-11/2024/Г"</f>
        <v>4_1203/03193413-11/2024/Г</v>
      </c>
      <c r="B2" s="6">
        <v>45597</v>
      </c>
      <c r="C2" s="1" t="str">
        <f>"00155"</f>
        <v>00155</v>
      </c>
      <c r="D2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" s="1" t="str">
        <f>"03193413"</f>
        <v>03193413</v>
      </c>
      <c r="F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" s="1" t="str">
        <f>"Фізична особа"</f>
        <v>Фізична особа</v>
      </c>
      <c r="H2" s="1" t="s">
        <v>20</v>
      </c>
      <c r="I2" s="1" t="s">
        <v>20</v>
      </c>
      <c r="J2" s="1" t="str">
        <f t="shared" ref="J2:J7" si="0">"Закрито"</f>
        <v>Закрито</v>
      </c>
      <c r="K2" s="5">
        <v>45609</v>
      </c>
      <c r="L2" s="1" t="s">
        <v>20</v>
      </c>
      <c r="M2" s="1" t="s">
        <v>22</v>
      </c>
      <c r="N2" s="5">
        <v>45609</v>
      </c>
    </row>
    <row r="3" spans="1:14" x14ac:dyDescent="0.3">
      <c r="A3" s="1" t="str">
        <f>"4_1204/03193413-11/2024/Н"</f>
        <v>4_1204/03193413-11/2024/Н</v>
      </c>
      <c r="B3" s="6">
        <v>45597</v>
      </c>
      <c r="C3" s="1" t="str">
        <f>"00155"</f>
        <v>00155</v>
      </c>
      <c r="D3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" s="1" t="str">
        <f>"03193413"</f>
        <v>03193413</v>
      </c>
      <c r="F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" s="1" t="str">
        <f>"Фізична особа"</f>
        <v>Фізична особа</v>
      </c>
      <c r="H3" s="1" t="s">
        <v>20</v>
      </c>
      <c r="I3" s="1" t="s">
        <v>20</v>
      </c>
      <c r="J3" s="1" t="str">
        <f t="shared" si="0"/>
        <v>Закрито</v>
      </c>
      <c r="K3" s="5">
        <v>45609</v>
      </c>
      <c r="L3" s="1" t="s">
        <v>20</v>
      </c>
      <c r="M3" s="1" t="s">
        <v>22</v>
      </c>
      <c r="N3" s="5">
        <v>45609</v>
      </c>
    </row>
    <row r="4" spans="1:14" x14ac:dyDescent="0.3">
      <c r="A4" s="1" t="str">
        <f>"3_1316/4-11/2024/Я"</f>
        <v>3_1316/4-11/2024/Я</v>
      </c>
      <c r="B4" s="6">
        <v>45597</v>
      </c>
      <c r="C4" s="1" t="str">
        <f>"00060"</f>
        <v>00060</v>
      </c>
      <c r="D4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4" s="1" t="s">
        <v>20</v>
      </c>
      <c r="F4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4" s="1" t="str">
        <f>"Фізична особа"</f>
        <v>Фізична особа</v>
      </c>
      <c r="H4" s="1" t="s">
        <v>20</v>
      </c>
      <c r="I4" s="1" t="s">
        <v>20</v>
      </c>
      <c r="J4" s="1" t="str">
        <f t="shared" si="0"/>
        <v>Закрито</v>
      </c>
      <c r="K4" s="5">
        <v>45597</v>
      </c>
      <c r="L4" s="1" t="str">
        <f>"151.4"</f>
        <v>151.4</v>
      </c>
      <c r="M4" s="1" t="s">
        <v>22</v>
      </c>
      <c r="N4" s="5">
        <v>45597</v>
      </c>
    </row>
    <row r="5" spans="1:14" x14ac:dyDescent="0.3">
      <c r="A5" s="1" t="str">
        <f>"4_1205/03193413-11/2024/К"</f>
        <v>4_1205/03193413-11/2024/К</v>
      </c>
      <c r="B5" s="6">
        <v>45597</v>
      </c>
      <c r="C5" s="1" t="str">
        <f>"00155"</f>
        <v>00155</v>
      </c>
      <c r="D5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5" s="1" t="str">
        <f>"03193413"</f>
        <v>03193413</v>
      </c>
      <c r="F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5" s="1" t="str">
        <f>"Фізична особа"</f>
        <v>Фізична особа</v>
      </c>
      <c r="H5" s="1" t="s">
        <v>20</v>
      </c>
      <c r="I5" s="1" t="s">
        <v>20</v>
      </c>
      <c r="J5" s="1" t="str">
        <f t="shared" si="0"/>
        <v>Закрито</v>
      </c>
      <c r="K5" s="5">
        <v>45609</v>
      </c>
      <c r="L5" s="1" t="s">
        <v>20</v>
      </c>
      <c r="M5" s="1" t="s">
        <v>22</v>
      </c>
      <c r="N5" s="5">
        <v>45609</v>
      </c>
    </row>
    <row r="6" spans="1:14" x14ac:dyDescent="0.3">
      <c r="A6" s="1" t="str">
        <f>"2_1657/2129-11/2024/Т"</f>
        <v>2_1657/2129-11/2024/Т</v>
      </c>
      <c r="B6" s="6">
        <v>45597</v>
      </c>
      <c r="C6" s="1" t="str">
        <f>"00042"</f>
        <v>00042</v>
      </c>
      <c r="D6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6" s="1" t="s">
        <v>20</v>
      </c>
      <c r="F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" s="1" t="str">
        <f>"Юридична особа"</f>
        <v>Юридична особа</v>
      </c>
      <c r="H6" s="1" t="str">
        <f>"ТОВ ""Колос опілля"""</f>
        <v>ТОВ "Колос опілля"</v>
      </c>
      <c r="I6" s="1" t="str">
        <f>"39309535"</f>
        <v>39309535</v>
      </c>
      <c r="J6" s="1" t="str">
        <f t="shared" si="0"/>
        <v>Закрито</v>
      </c>
      <c r="K6" s="5">
        <v>45597</v>
      </c>
      <c r="L6" s="1" t="str">
        <f>"150.0"</f>
        <v>150.0</v>
      </c>
      <c r="M6" s="1" t="s">
        <v>22</v>
      </c>
      <c r="N6" s="5">
        <v>45597</v>
      </c>
    </row>
    <row r="7" spans="1:14" x14ac:dyDescent="0.3">
      <c r="A7" s="1" t="str">
        <f>"4_1206/03193413-11/2024/Ж"</f>
        <v>4_1206/03193413-11/2024/Ж</v>
      </c>
      <c r="B7" s="6">
        <v>45597</v>
      </c>
      <c r="C7" s="1" t="str">
        <f>"01974"</f>
        <v>01974</v>
      </c>
      <c r="D7" s="2" t="str">
        <f>"Призначення пільги на оплату житла, комунальних послуг"</f>
        <v>Призначення пільги на оплату житла, комунальних послуг</v>
      </c>
      <c r="E7" s="1" t="str">
        <f>"03193413"</f>
        <v>03193413</v>
      </c>
      <c r="F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7" s="1" t="str">
        <f>"Фізична особа"</f>
        <v>Фізична особа</v>
      </c>
      <c r="H7" s="1" t="s">
        <v>20</v>
      </c>
      <c r="I7" s="1" t="s">
        <v>20</v>
      </c>
      <c r="J7" s="1" t="str">
        <f t="shared" si="0"/>
        <v>Закрито</v>
      </c>
      <c r="K7" s="5">
        <v>45629</v>
      </c>
      <c r="L7" s="1" t="s">
        <v>20</v>
      </c>
      <c r="M7" s="1" t="s">
        <v>22</v>
      </c>
      <c r="N7" s="5">
        <v>45629</v>
      </c>
    </row>
    <row r="8" spans="1:14" x14ac:dyDescent="0.3">
      <c r="A8" s="1" t="str">
        <f>"3_1317/4-11/2024/Я"</f>
        <v>3_1317/4-11/2024/Я</v>
      </c>
      <c r="B8" s="6">
        <v>45597</v>
      </c>
      <c r="C8" s="1" t="str">
        <f>"00060"</f>
        <v>00060</v>
      </c>
      <c r="D8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8" s="1" t="s">
        <v>20</v>
      </c>
      <c r="F8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8" s="1" t="str">
        <f>"Фізична особа"</f>
        <v>Фізична особа</v>
      </c>
      <c r="H8" s="1" t="s">
        <v>20</v>
      </c>
      <c r="I8" s="1" t="s">
        <v>20</v>
      </c>
      <c r="J8" s="1" t="str">
        <f>"Результат підготовлено СНАП"</f>
        <v>Результат підготовлено СНАП</v>
      </c>
      <c r="K8" s="5">
        <v>45614</v>
      </c>
      <c r="L8" s="1" t="str">
        <f>"151.4"</f>
        <v>151.4</v>
      </c>
      <c r="M8" s="1" t="s">
        <v>22</v>
      </c>
      <c r="N8" s="1" t="s">
        <v>20</v>
      </c>
    </row>
    <row r="9" spans="1:14" x14ac:dyDescent="0.3">
      <c r="A9" s="1" t="str">
        <f>"4_1207/03193413-11/2024/Б"</f>
        <v>4_1207/03193413-11/2024/Б</v>
      </c>
      <c r="B9" s="6">
        <v>45597</v>
      </c>
      <c r="C9" s="1" t="str">
        <f>"00155"</f>
        <v>00155</v>
      </c>
      <c r="D9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9" s="1" t="str">
        <f>"03193413"</f>
        <v>03193413</v>
      </c>
      <c r="F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9" s="1" t="str">
        <f>"Фізична особа"</f>
        <v>Фізична особа</v>
      </c>
      <c r="H9" s="1" t="s">
        <v>20</v>
      </c>
      <c r="I9" s="1" t="s">
        <v>20</v>
      </c>
      <c r="J9" s="1" t="str">
        <f>"Закрито"</f>
        <v>Закрито</v>
      </c>
      <c r="K9" s="5">
        <v>45609</v>
      </c>
      <c r="L9" s="1" t="s">
        <v>20</v>
      </c>
      <c r="M9" s="1" t="s">
        <v>22</v>
      </c>
      <c r="N9" s="5">
        <v>45609</v>
      </c>
    </row>
    <row r="10" spans="1:14" x14ac:dyDescent="0.3">
      <c r="A10" s="1" t="str">
        <f>"2_1658/2129-11/2024/Т"</f>
        <v>2_1658/2129-11/2024/Т</v>
      </c>
      <c r="B10" s="6">
        <v>45597</v>
      </c>
      <c r="C10" s="1" t="str">
        <f>"00042"</f>
        <v>00042</v>
      </c>
      <c r="D10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0" s="1" t="s">
        <v>20</v>
      </c>
      <c r="F1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" s="1" t="str">
        <f>"Юридична особа"</f>
        <v>Юридична особа</v>
      </c>
      <c r="H10" s="1" t="str">
        <f>"ТОВ ""Колос опілля"""</f>
        <v>ТОВ "Колос опілля"</v>
      </c>
      <c r="I10" s="1" t="str">
        <f>"39309535"</f>
        <v>39309535</v>
      </c>
      <c r="J10" s="1" t="str">
        <f>"Закрито"</f>
        <v>Закрито</v>
      </c>
      <c r="K10" s="5">
        <v>45597</v>
      </c>
      <c r="L10" s="1" t="str">
        <f>"150.0"</f>
        <v>150.0</v>
      </c>
      <c r="M10" s="1" t="s">
        <v>22</v>
      </c>
      <c r="N10" s="5">
        <v>45597</v>
      </c>
    </row>
    <row r="11" spans="1:14" x14ac:dyDescent="0.3">
      <c r="A11" s="1" t="str">
        <f>"4_1208/03193413-11/2024/О"</f>
        <v>4_1208/03193413-11/2024/О</v>
      </c>
      <c r="B11" s="6">
        <v>45597</v>
      </c>
      <c r="C11" s="1" t="str">
        <f>"00155"</f>
        <v>00155</v>
      </c>
      <c r="D11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1" s="1" t="str">
        <f>"03193413"</f>
        <v>03193413</v>
      </c>
      <c r="F1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" s="1" t="str">
        <f t="shared" ref="G11:G16" si="1">"Фізична особа"</f>
        <v>Фізична особа</v>
      </c>
      <c r="H11" s="1" t="s">
        <v>20</v>
      </c>
      <c r="I11" s="1" t="s">
        <v>20</v>
      </c>
      <c r="J11" s="1" t="str">
        <f>"Закрито"</f>
        <v>Закрито</v>
      </c>
      <c r="K11" s="5">
        <v>45609</v>
      </c>
      <c r="L11" s="1" t="s">
        <v>20</v>
      </c>
      <c r="M11" s="1" t="s">
        <v>22</v>
      </c>
      <c r="N11" s="5">
        <v>45609</v>
      </c>
    </row>
    <row r="12" spans="1:14" x14ac:dyDescent="0.3">
      <c r="A12" s="1" t="str">
        <f>"3_1318/4-11/2024/Я"</f>
        <v>3_1318/4-11/2024/Я</v>
      </c>
      <c r="B12" s="6">
        <v>45597</v>
      </c>
      <c r="C12" s="1" t="str">
        <f>"00060"</f>
        <v>00060</v>
      </c>
      <c r="D12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2" s="1" t="s">
        <v>20</v>
      </c>
      <c r="F12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2" s="1" t="str">
        <f t="shared" si="1"/>
        <v>Фізична особа</v>
      </c>
      <c r="H12" s="1" t="s">
        <v>20</v>
      </c>
      <c r="I12" s="1" t="s">
        <v>20</v>
      </c>
      <c r="J12" s="1" t="str">
        <f>"Результат підготовлено СНАП"</f>
        <v>Результат підготовлено СНАП</v>
      </c>
      <c r="K12" s="5">
        <v>45614</v>
      </c>
      <c r="L12" s="1" t="str">
        <f>"151.4"</f>
        <v>151.4</v>
      </c>
      <c r="M12" s="1" t="s">
        <v>22</v>
      </c>
      <c r="N12" s="1" t="s">
        <v>20</v>
      </c>
    </row>
    <row r="13" spans="1:14" x14ac:dyDescent="0.3">
      <c r="A13" s="1" t="str">
        <f>"2_1659/2129-11/2024/Г"</f>
        <v>2_1659/2129-11/2024/Г</v>
      </c>
      <c r="B13" s="6">
        <v>45597</v>
      </c>
      <c r="C13" s="1" t="str">
        <f>"00047"</f>
        <v>00047</v>
      </c>
      <c r="D13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3" s="1" t="s">
        <v>20</v>
      </c>
      <c r="F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" s="1" t="str">
        <f t="shared" si="1"/>
        <v>Фізична особа</v>
      </c>
      <c r="H13" s="1" t="s">
        <v>20</v>
      </c>
      <c r="I13" s="1" t="s">
        <v>20</v>
      </c>
      <c r="J13" s="1" t="str">
        <f>"Закрито"</f>
        <v>Закрито</v>
      </c>
      <c r="K13" s="5">
        <v>45597</v>
      </c>
      <c r="L13" s="1" t="str">
        <f>"80.0"</f>
        <v>80.0</v>
      </c>
      <c r="M13" s="1" t="s">
        <v>22</v>
      </c>
      <c r="N13" s="5">
        <v>45597</v>
      </c>
    </row>
    <row r="14" spans="1:14" x14ac:dyDescent="0.3">
      <c r="A14" s="1" t="str">
        <f>"2_1660/2129-11/2024/Ч"</f>
        <v>2_1660/2129-11/2024/Ч</v>
      </c>
      <c r="B14" s="6">
        <v>45597</v>
      </c>
      <c r="C14" s="1" t="str">
        <f>"00041"</f>
        <v>00041</v>
      </c>
      <c r="D1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4" s="1" t="s">
        <v>20</v>
      </c>
      <c r="F1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" s="1" t="str">
        <f t="shared" si="1"/>
        <v>Фізична особа</v>
      </c>
      <c r="H14" s="1" t="s">
        <v>20</v>
      </c>
      <c r="I14" s="1" t="s">
        <v>20</v>
      </c>
      <c r="J14" s="1" t="str">
        <f>"Закрито"</f>
        <v>Закрито</v>
      </c>
      <c r="K14" s="5">
        <v>45597</v>
      </c>
      <c r="L14" s="1" t="s">
        <v>20</v>
      </c>
      <c r="M14" s="1" t="s">
        <v>22</v>
      </c>
      <c r="N14" s="5">
        <v>45597</v>
      </c>
    </row>
    <row r="15" spans="1:14" x14ac:dyDescent="0.3">
      <c r="A15" s="1" t="str">
        <f>"2_1661/2129-11/2024/С"</f>
        <v>2_1661/2129-11/2024/С</v>
      </c>
      <c r="B15" s="6">
        <v>45597</v>
      </c>
      <c r="C15" s="1" t="str">
        <f>"00041"</f>
        <v>00041</v>
      </c>
      <c r="D1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5" s="1" t="s">
        <v>20</v>
      </c>
      <c r="F1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" s="1" t="str">
        <f t="shared" si="1"/>
        <v>Фізична особа</v>
      </c>
      <c r="H15" s="1" t="s">
        <v>20</v>
      </c>
      <c r="I15" s="1" t="s">
        <v>20</v>
      </c>
      <c r="J15" s="1" t="str">
        <f>"Закрито"</f>
        <v>Закрито</v>
      </c>
      <c r="K15" s="5">
        <v>45597</v>
      </c>
      <c r="L15" s="1" t="str">
        <f>"300.0"</f>
        <v>300.0</v>
      </c>
      <c r="M15" s="1" t="s">
        <v>22</v>
      </c>
      <c r="N15" s="5">
        <v>45597</v>
      </c>
    </row>
    <row r="16" spans="1:14" x14ac:dyDescent="0.3">
      <c r="A16" s="1" t="str">
        <f>"3_1319/4-11/2024/Я"</f>
        <v>3_1319/4-11/2024/Я</v>
      </c>
      <c r="B16" s="6">
        <v>45597</v>
      </c>
      <c r="C16" s="1" t="str">
        <f>"00060"</f>
        <v>00060</v>
      </c>
      <c r="D16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6" s="1" t="s">
        <v>20</v>
      </c>
      <c r="F16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6" s="1" t="str">
        <f t="shared" si="1"/>
        <v>Фізична особа</v>
      </c>
      <c r="H16" s="1" t="s">
        <v>20</v>
      </c>
      <c r="I16" s="1" t="s">
        <v>20</v>
      </c>
      <c r="J16" s="1" t="str">
        <f>"Результат підготовлено СНАП"</f>
        <v>Результат підготовлено СНАП</v>
      </c>
      <c r="K16" s="5">
        <v>45614</v>
      </c>
      <c r="L16" s="1" t="str">
        <f>"151.4"</f>
        <v>151.4</v>
      </c>
      <c r="M16" s="1" t="s">
        <v>22</v>
      </c>
      <c r="N16" s="1" t="s">
        <v>20</v>
      </c>
    </row>
    <row r="17" spans="1:14" x14ac:dyDescent="0.3">
      <c r="A17" s="1" t="str">
        <f>"2_1662/2129-11/2024/П"</f>
        <v>2_1662/2129-11/2024/П</v>
      </c>
      <c r="B17" s="6">
        <v>45597</v>
      </c>
      <c r="C17" s="1" t="str">
        <f>"00042"</f>
        <v>00042</v>
      </c>
      <c r="D17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7" s="1" t="s">
        <v>20</v>
      </c>
      <c r="F1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" s="1" t="str">
        <f>"Юридична особа"</f>
        <v>Юридична особа</v>
      </c>
      <c r="H17" s="1" t="str">
        <f>"ПАТ ""Національна енергетична компанія ""Укренерго"""</f>
        <v>ПАТ "Національна енергетична компанія "Укренерго"</v>
      </c>
      <c r="I17" s="1" t="str">
        <f>"00100227"</f>
        <v>00100227</v>
      </c>
      <c r="J17" s="1" t="str">
        <f>"Закрито"</f>
        <v>Закрито</v>
      </c>
      <c r="K17" s="5">
        <v>45597</v>
      </c>
      <c r="L17" s="1" t="str">
        <f>"150.0"</f>
        <v>150.0</v>
      </c>
      <c r="M17" s="1" t="s">
        <v>22</v>
      </c>
      <c r="N17" s="5">
        <v>45597</v>
      </c>
    </row>
    <row r="18" spans="1:14" x14ac:dyDescent="0.3">
      <c r="A18" s="1" t="str">
        <f>"2_1663/2129-11/2024/п"</f>
        <v>2_1663/2129-11/2024/п</v>
      </c>
      <c r="B18" s="6">
        <v>45597</v>
      </c>
      <c r="C18" s="1" t="str">
        <f>"00042"</f>
        <v>00042</v>
      </c>
      <c r="D18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8" s="1" t="s">
        <v>20</v>
      </c>
      <c r="F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" s="1" t="str">
        <f>"Юридична особа"</f>
        <v>Юридична особа</v>
      </c>
      <c r="H18" s="1" t="str">
        <f>"приватне акціонерне товариство ""Національна енергетична компанія ""Укренерго"""</f>
        <v>приватне акціонерне товариство "Національна енергетична компанія "Укренерго"</v>
      </c>
      <c r="I18" s="1" t="str">
        <f>"00100227"</f>
        <v>00100227</v>
      </c>
      <c r="J18" s="1" t="str">
        <f>"Закрито"</f>
        <v>Закрито</v>
      </c>
      <c r="K18" s="5">
        <v>45597</v>
      </c>
      <c r="L18" s="1" t="s">
        <v>20</v>
      </c>
      <c r="M18" s="1" t="s">
        <v>22</v>
      </c>
      <c r="N18" s="5">
        <v>45597</v>
      </c>
    </row>
    <row r="19" spans="1:14" x14ac:dyDescent="0.3">
      <c r="A19" s="1" t="str">
        <f>"2_1664/2129-11/2024/П"</f>
        <v>2_1664/2129-11/2024/П</v>
      </c>
      <c r="B19" s="6">
        <v>45597</v>
      </c>
      <c r="C19" s="1" t="str">
        <f>"00047"</f>
        <v>00047</v>
      </c>
      <c r="D19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9" s="1" t="s">
        <v>20</v>
      </c>
      <c r="F1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" s="1" t="str">
        <f>"Фізична особа"</f>
        <v>Фізична особа</v>
      </c>
      <c r="H19" s="1" t="s">
        <v>20</v>
      </c>
      <c r="I19" s="1" t="s">
        <v>20</v>
      </c>
      <c r="J19" s="1" t="str">
        <f>"Закрито"</f>
        <v>Закрито</v>
      </c>
      <c r="K19" s="5">
        <v>45597</v>
      </c>
      <c r="L19" s="1" t="str">
        <f>"80.0"</f>
        <v>80.0</v>
      </c>
      <c r="M19" s="1" t="s">
        <v>22</v>
      </c>
      <c r="N19" s="5">
        <v>45597</v>
      </c>
    </row>
    <row r="20" spans="1:14" x14ac:dyDescent="0.3">
      <c r="A20" s="1" t="str">
        <f>"3_1320/4-11/2024/Я"</f>
        <v>3_1320/4-11/2024/Я</v>
      </c>
      <c r="B20" s="6">
        <v>45597</v>
      </c>
      <c r="C20" s="1" t="str">
        <f>"00060"</f>
        <v>00060</v>
      </c>
      <c r="D20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0" s="1" t="s">
        <v>20</v>
      </c>
      <c r="F20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0" s="1" t="str">
        <f>"Фізична особа"</f>
        <v>Фізична особа</v>
      </c>
      <c r="H20" s="1" t="s">
        <v>20</v>
      </c>
      <c r="I20" s="1" t="s">
        <v>20</v>
      </c>
      <c r="J20" s="1" t="str">
        <f>"Результат підготовлено СНАП"</f>
        <v>Результат підготовлено СНАП</v>
      </c>
      <c r="K20" s="5">
        <v>45614</v>
      </c>
      <c r="L20" s="1" t="str">
        <f>"151.4"</f>
        <v>151.4</v>
      </c>
      <c r="M20" s="1" t="s">
        <v>22</v>
      </c>
      <c r="N20" s="1" t="s">
        <v>20</v>
      </c>
    </row>
    <row r="21" spans="1:14" x14ac:dyDescent="0.3">
      <c r="A21" s="1" t="str">
        <f>"3_1321/4-11/2024/Я"</f>
        <v>3_1321/4-11/2024/Я</v>
      </c>
      <c r="B21" s="6">
        <v>45597</v>
      </c>
      <c r="C21" s="1" t="str">
        <f>"00060"</f>
        <v>00060</v>
      </c>
      <c r="D21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" s="1" t="s">
        <v>20</v>
      </c>
      <c r="F21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1" s="1" t="str">
        <f>"Фізична особа"</f>
        <v>Фізична особа</v>
      </c>
      <c r="H21" s="1" t="s">
        <v>20</v>
      </c>
      <c r="I21" s="1" t="s">
        <v>20</v>
      </c>
      <c r="J21" s="1" t="str">
        <f>"Результат підготовлено СНАП"</f>
        <v>Результат підготовлено СНАП</v>
      </c>
      <c r="K21" s="5">
        <v>45614</v>
      </c>
      <c r="L21" s="1" t="str">
        <f>"151.4"</f>
        <v>151.4</v>
      </c>
      <c r="M21" s="1" t="s">
        <v>22</v>
      </c>
      <c r="N21" s="1" t="s">
        <v>20</v>
      </c>
    </row>
    <row r="22" spans="1:14" x14ac:dyDescent="0.3">
      <c r="A22" s="1" t="str">
        <f>"2_1665/2129-11/2024/п"</f>
        <v>2_1665/2129-11/2024/п</v>
      </c>
      <c r="B22" s="6">
        <v>45597</v>
      </c>
      <c r="C22" s="1" t="str">
        <f>"00042"</f>
        <v>00042</v>
      </c>
      <c r="D22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2" s="1" t="s">
        <v>20</v>
      </c>
      <c r="F2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" s="1" t="str">
        <f>"Юридична особа"</f>
        <v>Юридична особа</v>
      </c>
      <c r="H22" s="1" t="str">
        <f>"приватне акціонерне товариство ""Національна енергетична компанія ""Укренерго"""</f>
        <v>приватне акціонерне товариство "Національна енергетична компанія "Укренерго"</v>
      </c>
      <c r="I22" s="1" t="str">
        <f>"00100227"</f>
        <v>00100227</v>
      </c>
      <c r="J22" s="1" t="str">
        <f>"Закрито"</f>
        <v>Закрито</v>
      </c>
      <c r="K22" s="5">
        <v>45597</v>
      </c>
      <c r="L22" s="1" t="s">
        <v>20</v>
      </c>
      <c r="M22" s="1" t="s">
        <v>22</v>
      </c>
      <c r="N22" s="5">
        <v>45597</v>
      </c>
    </row>
    <row r="23" spans="1:14" x14ac:dyDescent="0.3">
      <c r="A23" s="1" t="str">
        <f>"2_1666/2129-11/2024/В"</f>
        <v>2_1666/2129-11/2024/В</v>
      </c>
      <c r="B23" s="6">
        <v>45597</v>
      </c>
      <c r="C23" s="1" t="str">
        <f>"00042"</f>
        <v>00042</v>
      </c>
      <c r="D23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3" s="1" t="s">
        <v>20</v>
      </c>
      <c r="F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" s="1" t="str">
        <f>"Фізична особа"</f>
        <v>Фізична особа</v>
      </c>
      <c r="H23" s="1" t="s">
        <v>20</v>
      </c>
      <c r="I23" s="1" t="s">
        <v>20</v>
      </c>
      <c r="J23" s="1" t="str">
        <f>"Закрито"</f>
        <v>Закрито</v>
      </c>
      <c r="K23" s="5">
        <v>45597</v>
      </c>
      <c r="L23" s="1" t="str">
        <f>"150.0"</f>
        <v>150.0</v>
      </c>
      <c r="M23" s="1" t="s">
        <v>22</v>
      </c>
      <c r="N23" s="5">
        <v>45597</v>
      </c>
    </row>
    <row r="24" spans="1:14" x14ac:dyDescent="0.3">
      <c r="A24" s="1" t="str">
        <f>"2_1667/2129-11/2024/Р"</f>
        <v>2_1667/2129-11/2024/Р</v>
      </c>
      <c r="B24" s="6">
        <v>45597</v>
      </c>
      <c r="C24" s="1" t="str">
        <f>"00047"</f>
        <v>00047</v>
      </c>
      <c r="D24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24" s="1" t="s">
        <v>20</v>
      </c>
      <c r="F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" s="1" t="str">
        <f>"Фізична особа"</f>
        <v>Фізична особа</v>
      </c>
      <c r="H24" s="1" t="s">
        <v>20</v>
      </c>
      <c r="I24" s="1" t="s">
        <v>20</v>
      </c>
      <c r="J24" s="1" t="str">
        <f>"Закрито"</f>
        <v>Закрито</v>
      </c>
      <c r="K24" s="5">
        <v>45597</v>
      </c>
      <c r="L24" s="1" t="str">
        <f>"80.0"</f>
        <v>80.0</v>
      </c>
      <c r="M24" s="1" t="s">
        <v>22</v>
      </c>
      <c r="N24" s="5">
        <v>45597</v>
      </c>
    </row>
    <row r="25" spans="1:14" x14ac:dyDescent="0.3">
      <c r="A25" s="1" t="str">
        <f>"2_1668/2129-11/2024/с"</f>
        <v>2_1668/2129-11/2024/с</v>
      </c>
      <c r="B25" s="6">
        <v>45597</v>
      </c>
      <c r="C25" s="1" t="str">
        <f>"00042"</f>
        <v>00042</v>
      </c>
      <c r="D25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5" s="1" t="s">
        <v>20</v>
      </c>
      <c r="F2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" s="1" t="str">
        <f>"Юридична особа"</f>
        <v>Юридична особа</v>
      </c>
      <c r="H25" s="1" t="str">
        <f>"сільськогосподарське товариство з обмеженою відповідальністю ""У'їзд"""</f>
        <v>сільськогосподарське товариство з обмеженою відповідальністю "У'їзд"</v>
      </c>
      <c r="I25" s="1" t="str">
        <f>"03752445"</f>
        <v>03752445</v>
      </c>
      <c r="J25" s="1" t="str">
        <f>"Закрито"</f>
        <v>Закрито</v>
      </c>
      <c r="K25" s="5">
        <v>45597</v>
      </c>
      <c r="L25" s="1" t="str">
        <f>"165.0"</f>
        <v>165.0</v>
      </c>
      <c r="M25" s="1" t="s">
        <v>22</v>
      </c>
      <c r="N25" s="5">
        <v>45597</v>
      </c>
    </row>
    <row r="26" spans="1:14" x14ac:dyDescent="0.3">
      <c r="A26" s="1" t="str">
        <f>"2_1669/2129-11/2024/П"</f>
        <v>2_1669/2129-11/2024/П</v>
      </c>
      <c r="B26" s="6">
        <v>45597</v>
      </c>
      <c r="C26" s="1" t="str">
        <f>"00041"</f>
        <v>00041</v>
      </c>
      <c r="D2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6" s="1" t="s">
        <v>20</v>
      </c>
      <c r="F2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" s="1" t="str">
        <f>"Фізична особа"</f>
        <v>Фізична особа</v>
      </c>
      <c r="H26" s="1" t="s">
        <v>20</v>
      </c>
      <c r="I26" s="1" t="s">
        <v>20</v>
      </c>
      <c r="J26" s="1" t="str">
        <f>"Закрито"</f>
        <v>Закрито</v>
      </c>
      <c r="K26" s="5">
        <v>45597</v>
      </c>
      <c r="L26" s="1" t="str">
        <f>"300.0"</f>
        <v>300.0</v>
      </c>
      <c r="M26" s="1" t="s">
        <v>22</v>
      </c>
      <c r="N26" s="5">
        <v>45597</v>
      </c>
    </row>
    <row r="27" spans="1:14" x14ac:dyDescent="0.3">
      <c r="A27" s="1" t="str">
        <f>"3_1322/4-11/2024/Я"</f>
        <v>3_1322/4-11/2024/Я</v>
      </c>
      <c r="B27" s="6">
        <v>45597</v>
      </c>
      <c r="C27" s="1" t="str">
        <f>"00060"</f>
        <v>00060</v>
      </c>
      <c r="D27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7" s="1" t="s">
        <v>20</v>
      </c>
      <c r="F27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7" s="1" t="str">
        <f>"Фізична особа"</f>
        <v>Фізична особа</v>
      </c>
      <c r="H27" s="1" t="s">
        <v>20</v>
      </c>
      <c r="I27" s="1" t="s">
        <v>20</v>
      </c>
      <c r="J27" s="1" t="str">
        <f>"Результат підготовлено СНАП"</f>
        <v>Результат підготовлено СНАП</v>
      </c>
      <c r="K27" s="5">
        <v>45614</v>
      </c>
      <c r="L27" s="1" t="str">
        <f>"151.4"</f>
        <v>151.4</v>
      </c>
      <c r="M27" s="1" t="s">
        <v>22</v>
      </c>
      <c r="N27" s="1" t="s">
        <v>20</v>
      </c>
    </row>
    <row r="28" spans="1:14" x14ac:dyDescent="0.3">
      <c r="A28" s="1" t="str">
        <f>"2_1670/2129-11/2024/Ф"</f>
        <v>2_1670/2129-11/2024/Ф</v>
      </c>
      <c r="B28" s="6">
        <v>45597</v>
      </c>
      <c r="C28" s="1" t="str">
        <f>"00042"</f>
        <v>00042</v>
      </c>
      <c r="D28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8" s="1" t="s">
        <v>20</v>
      </c>
      <c r="F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" s="1" t="str">
        <f>"Юридична особа"</f>
        <v>Юридична особа</v>
      </c>
      <c r="H28" s="1" t="str">
        <f>"Фермерське господарство ""Агро-Стандарт"""</f>
        <v>Фермерське господарство "Агро-Стандарт"</v>
      </c>
      <c r="I28" s="1" t="str">
        <f>"33958918"</f>
        <v>33958918</v>
      </c>
      <c r="J28" s="1" t="str">
        <f>"Закрито"</f>
        <v>Закрито</v>
      </c>
      <c r="K28" s="5">
        <v>45597</v>
      </c>
      <c r="L28" s="1" t="str">
        <f>"150.0"</f>
        <v>150.0</v>
      </c>
      <c r="M28" s="1" t="s">
        <v>22</v>
      </c>
      <c r="N28" s="5">
        <v>45597</v>
      </c>
    </row>
    <row r="29" spans="1:14" x14ac:dyDescent="0.3">
      <c r="A29" s="1" t="str">
        <f>"2_1671/2129-11/2024/с"</f>
        <v>2_1671/2129-11/2024/с</v>
      </c>
      <c r="B29" s="6">
        <v>45597</v>
      </c>
      <c r="C29" s="1" t="str">
        <f>"00042"</f>
        <v>00042</v>
      </c>
      <c r="D29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9" s="1" t="s">
        <v>20</v>
      </c>
      <c r="F2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" s="1" t="str">
        <f>"Юридична особа"</f>
        <v>Юридична особа</v>
      </c>
      <c r="H29" s="1" t="str">
        <f>"сільськогосподарське товариство з обмеженою відповідальністю ""У'їзд"""</f>
        <v>сільськогосподарське товариство з обмеженою відповідальністю "У'їзд"</v>
      </c>
      <c r="I29" s="1" t="str">
        <f>"03752445"</f>
        <v>03752445</v>
      </c>
      <c r="J29" s="1" t="str">
        <f>"Закрито"</f>
        <v>Закрито</v>
      </c>
      <c r="K29" s="5">
        <v>45597</v>
      </c>
      <c r="L29" s="1" t="s">
        <v>20</v>
      </c>
      <c r="M29" s="1" t="s">
        <v>22</v>
      </c>
      <c r="N29" s="5">
        <v>45597</v>
      </c>
    </row>
    <row r="30" spans="1:14" x14ac:dyDescent="0.3">
      <c r="A30" s="1" t="str">
        <f>"2_1672/2129-11/2024/Ф"</f>
        <v>2_1672/2129-11/2024/Ф</v>
      </c>
      <c r="B30" s="6">
        <v>45597</v>
      </c>
      <c r="C30" s="1" t="str">
        <f>"00042"</f>
        <v>00042</v>
      </c>
      <c r="D30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0" s="1" t="s">
        <v>20</v>
      </c>
      <c r="F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" s="1" t="str">
        <f>"Юридична особа"</f>
        <v>Юридична особа</v>
      </c>
      <c r="H30" s="1" t="str">
        <f>"ФГ ""Агро-Стандарт"""</f>
        <v>ФГ "Агро-Стандарт"</v>
      </c>
      <c r="I30" s="1" t="str">
        <f>"33958918"</f>
        <v>33958918</v>
      </c>
      <c r="J30" s="1" t="str">
        <f>"Закрито"</f>
        <v>Закрито</v>
      </c>
      <c r="K30" s="5">
        <v>45597</v>
      </c>
      <c r="L30" s="1" t="str">
        <f>"150.0"</f>
        <v>150.0</v>
      </c>
      <c r="M30" s="1" t="s">
        <v>22</v>
      </c>
      <c r="N30" s="5">
        <v>45597</v>
      </c>
    </row>
    <row r="31" spans="1:14" x14ac:dyDescent="0.3">
      <c r="A31" s="1" t="str">
        <f>"2_1673/2129-11/2024/Г"</f>
        <v>2_1673/2129-11/2024/Г</v>
      </c>
      <c r="B31" s="6">
        <v>45597</v>
      </c>
      <c r="C31" s="1" t="str">
        <f>"00041"</f>
        <v>00041</v>
      </c>
      <c r="D3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1" s="1" t="s">
        <v>20</v>
      </c>
      <c r="F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" s="1" t="str">
        <f>"Фізична особа"</f>
        <v>Фізична особа</v>
      </c>
      <c r="H31" s="1" t="s">
        <v>20</v>
      </c>
      <c r="I31" s="1" t="s">
        <v>20</v>
      </c>
      <c r="J31" s="1" t="str">
        <f>"Закрито"</f>
        <v>Закрито</v>
      </c>
      <c r="K31" s="5">
        <v>45597</v>
      </c>
      <c r="L31" s="1" t="s">
        <v>20</v>
      </c>
      <c r="M31" s="1" t="s">
        <v>22</v>
      </c>
      <c r="N31" s="5">
        <v>45597</v>
      </c>
    </row>
    <row r="32" spans="1:14" x14ac:dyDescent="0.3">
      <c r="A32" s="1" t="str">
        <f>"9_1571/04054323-11/2024/Л"</f>
        <v>9_1571/04054323-11/2024/Л</v>
      </c>
      <c r="B32" s="6">
        <v>45597</v>
      </c>
      <c r="C32" s="1" t="str">
        <f>"01"</f>
        <v>01</v>
      </c>
      <c r="D32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32" s="1" t="str">
        <f>"04054323"</f>
        <v>04054323</v>
      </c>
      <c r="F32" s="1" t="str">
        <f>"Рогатинська міська рада"</f>
        <v>Рогатинська міська рада</v>
      </c>
      <c r="G32" s="1" t="str">
        <f>"Фізична особа"</f>
        <v>Фізична особа</v>
      </c>
      <c r="H32" s="1" t="s">
        <v>20</v>
      </c>
      <c r="I32" s="1" t="s">
        <v>20</v>
      </c>
      <c r="J32" s="1" t="str">
        <f>"На обробці в СНАП"</f>
        <v>На обробці в СНАП</v>
      </c>
      <c r="K32" s="1" t="s">
        <v>20</v>
      </c>
      <c r="L32" s="1" t="s">
        <v>20</v>
      </c>
      <c r="M32" s="1" t="s">
        <v>22</v>
      </c>
      <c r="N32" s="1" t="s">
        <v>20</v>
      </c>
    </row>
    <row r="33" spans="1:14" x14ac:dyDescent="0.3">
      <c r="A33" s="1" t="str">
        <f>"28_613-11/2024/М"</f>
        <v>28_613-11/2024/М</v>
      </c>
      <c r="B33" s="6">
        <v>45597</v>
      </c>
      <c r="C33" s="1" t="str">
        <f>"00155"</f>
        <v>00155</v>
      </c>
      <c r="D33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3" s="1" t="str">
        <f>"03193413"</f>
        <v>03193413</v>
      </c>
      <c r="F3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" s="1" t="str">
        <f>"Фізична особа"</f>
        <v>Фізична особа</v>
      </c>
      <c r="H33" s="1" t="s">
        <v>20</v>
      </c>
      <c r="I33" s="1" t="s">
        <v>20</v>
      </c>
      <c r="J33" s="1" t="str">
        <f>"Закрито"</f>
        <v>Закрито</v>
      </c>
      <c r="K33" s="5">
        <v>45610</v>
      </c>
      <c r="L33" s="1" t="s">
        <v>20</v>
      </c>
      <c r="M33" s="1" t="s">
        <v>22</v>
      </c>
      <c r="N33" s="5">
        <v>45610</v>
      </c>
    </row>
    <row r="34" spans="1:14" x14ac:dyDescent="0.3">
      <c r="A34" s="1" t="str">
        <f>"2_1674/2129-11/2024/С"</f>
        <v>2_1674/2129-11/2024/С</v>
      </c>
      <c r="B34" s="6">
        <v>45597</v>
      </c>
      <c r="C34" s="1" t="str">
        <f>"00041"</f>
        <v>00041</v>
      </c>
      <c r="D3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4" s="1" t="s">
        <v>20</v>
      </c>
      <c r="F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" s="1" t="str">
        <f>"Фізична особа"</f>
        <v>Фізична особа</v>
      </c>
      <c r="H34" s="1" t="s">
        <v>20</v>
      </c>
      <c r="I34" s="1" t="s">
        <v>20</v>
      </c>
      <c r="J34" s="1" t="str">
        <f>"Закрито"</f>
        <v>Закрито</v>
      </c>
      <c r="K34" s="5">
        <v>45597</v>
      </c>
      <c r="L34" s="1" t="s">
        <v>20</v>
      </c>
      <c r="M34" s="1" t="s">
        <v>22</v>
      </c>
      <c r="N34" s="5">
        <v>45597</v>
      </c>
    </row>
    <row r="35" spans="1:14" x14ac:dyDescent="0.3">
      <c r="A35" s="1" t="str">
        <f>"2_1675/2129-11/2024/Ф"</f>
        <v>2_1675/2129-11/2024/Ф</v>
      </c>
      <c r="B35" s="6">
        <v>45597</v>
      </c>
      <c r="C35" s="1" t="str">
        <f>"00042"</f>
        <v>00042</v>
      </c>
      <c r="D35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5" s="1" t="s">
        <v>20</v>
      </c>
      <c r="F3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" s="1" t="str">
        <f>"Юридична особа"</f>
        <v>Юридична особа</v>
      </c>
      <c r="H35" s="1" t="str">
        <f>"ФГ ""Агро-Стандарт"""</f>
        <v>ФГ "Агро-Стандарт"</v>
      </c>
      <c r="I35" s="1" t="str">
        <f>"33958918"</f>
        <v>33958918</v>
      </c>
      <c r="J35" s="1" t="str">
        <f>"Закрито"</f>
        <v>Закрито</v>
      </c>
      <c r="K35" s="5">
        <v>45597</v>
      </c>
      <c r="L35" s="1" t="str">
        <f>"150.0"</f>
        <v>150.0</v>
      </c>
      <c r="M35" s="1" t="s">
        <v>22</v>
      </c>
      <c r="N35" s="5">
        <v>45597</v>
      </c>
    </row>
    <row r="36" spans="1:14" x14ac:dyDescent="0.3">
      <c r="A36" s="1" t="str">
        <f>"2_1676/2129-11/2024/Б"</f>
        <v>2_1676/2129-11/2024/Б</v>
      </c>
      <c r="B36" s="6">
        <v>45597</v>
      </c>
      <c r="C36" s="1" t="str">
        <f>"00047"</f>
        <v>00047</v>
      </c>
      <c r="D36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36" s="1" t="s">
        <v>20</v>
      </c>
      <c r="F3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6" s="1" t="str">
        <f>"Фізична особа"</f>
        <v>Фізична особа</v>
      </c>
      <c r="H36" s="1" t="s">
        <v>20</v>
      </c>
      <c r="I36" s="1" t="s">
        <v>20</v>
      </c>
      <c r="J36" s="1" t="str">
        <f>"Закрито"</f>
        <v>Закрито</v>
      </c>
      <c r="K36" s="5">
        <v>45597</v>
      </c>
      <c r="L36" s="1" t="str">
        <f>"80.0"</f>
        <v>80.0</v>
      </c>
      <c r="M36" s="1" t="s">
        <v>22</v>
      </c>
      <c r="N36" s="5">
        <v>45597</v>
      </c>
    </row>
    <row r="37" spans="1:14" x14ac:dyDescent="0.3">
      <c r="A37" s="1" t="str">
        <f>"2_1677/2129-11/2024/С"</f>
        <v>2_1677/2129-11/2024/С</v>
      </c>
      <c r="B37" s="6">
        <v>45597</v>
      </c>
      <c r="C37" s="1" t="str">
        <f>"00041"</f>
        <v>00041</v>
      </c>
      <c r="D3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7" s="1" t="s">
        <v>20</v>
      </c>
      <c r="F3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7" s="1" t="str">
        <f>"Фізична особа"</f>
        <v>Фізична особа</v>
      </c>
      <c r="H37" s="1" t="s">
        <v>20</v>
      </c>
      <c r="I37" s="1" t="s">
        <v>20</v>
      </c>
      <c r="J37" s="1" t="str">
        <f>"Закрито"</f>
        <v>Закрито</v>
      </c>
      <c r="K37" s="5">
        <v>45597</v>
      </c>
      <c r="L37" s="1" t="s">
        <v>20</v>
      </c>
      <c r="M37" s="1" t="s">
        <v>22</v>
      </c>
      <c r="N37" s="5">
        <v>45597</v>
      </c>
    </row>
    <row r="38" spans="1:14" x14ac:dyDescent="0.3">
      <c r="A38" s="1" t="str">
        <f>"3_1323/4-11/2024/Я"</f>
        <v>3_1323/4-11/2024/Я</v>
      </c>
      <c r="B38" s="6">
        <v>45597</v>
      </c>
      <c r="C38" s="1" t="str">
        <f>"00060"</f>
        <v>00060</v>
      </c>
      <c r="D38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8" s="1" t="s">
        <v>20</v>
      </c>
      <c r="F38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8" s="1" t="str">
        <f>"Фізична особа"</f>
        <v>Фізична особа</v>
      </c>
      <c r="H38" s="1" t="s">
        <v>20</v>
      </c>
      <c r="I38" s="1" t="s">
        <v>20</v>
      </c>
      <c r="J38" s="1" t="str">
        <f>"Результат підготовлено СНАП"</f>
        <v>Результат підготовлено СНАП</v>
      </c>
      <c r="K38" s="5">
        <v>45614</v>
      </c>
      <c r="L38" s="1" t="str">
        <f>"151.4"</f>
        <v>151.4</v>
      </c>
      <c r="M38" s="1" t="s">
        <v>22</v>
      </c>
      <c r="N38" s="1" t="s">
        <v>20</v>
      </c>
    </row>
    <row r="39" spans="1:14" x14ac:dyDescent="0.3">
      <c r="A39" s="1" t="str">
        <f>"9_1572/04054323-11/2024/Ф"</f>
        <v>9_1572/04054323-11/2024/Ф</v>
      </c>
      <c r="B39" s="6">
        <v>45597</v>
      </c>
      <c r="C39" s="1" t="str">
        <f>"00153"</f>
        <v>00153</v>
      </c>
      <c r="D39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39" s="1" t="str">
        <f>"04054323"</f>
        <v>04054323</v>
      </c>
      <c r="F39" s="1" t="str">
        <f>"Рогатинська міська рада"</f>
        <v>Рогатинська міська рада</v>
      </c>
      <c r="G39" s="1" t="str">
        <f>"Фізична особа"</f>
        <v>Фізична особа</v>
      </c>
      <c r="H39" s="1" t="s">
        <v>20</v>
      </c>
      <c r="I39" s="1" t="s">
        <v>20</v>
      </c>
      <c r="J39" s="1" t="str">
        <f t="shared" ref="J39:J59" si="2">"Закрито"</f>
        <v>Закрито</v>
      </c>
      <c r="K39" s="5">
        <v>45628</v>
      </c>
      <c r="L39" s="1" t="s">
        <v>20</v>
      </c>
      <c r="M39" s="1" t="s">
        <v>22</v>
      </c>
      <c r="N39" s="5">
        <v>45628</v>
      </c>
    </row>
    <row r="40" spans="1:14" x14ac:dyDescent="0.3">
      <c r="A40" s="1" t="str">
        <f>"2_1678/2129-11/2024/Ф"</f>
        <v>2_1678/2129-11/2024/Ф</v>
      </c>
      <c r="B40" s="6">
        <v>45597</v>
      </c>
      <c r="C40" s="1" t="str">
        <f>"00042"</f>
        <v>00042</v>
      </c>
      <c r="D40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40" s="1" t="s">
        <v>20</v>
      </c>
      <c r="F40" s="1" t="str">
        <f t="shared" ref="F40:F47" si="3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0" s="1" t="str">
        <f>"Юридична особа"</f>
        <v>Юридична особа</v>
      </c>
      <c r="H40" s="1" t="str">
        <f>"ФГ ""Агро-Стандарт"""</f>
        <v>ФГ "Агро-Стандарт"</v>
      </c>
      <c r="I40" s="1" t="str">
        <f>"33958918"</f>
        <v>33958918</v>
      </c>
      <c r="J40" s="1" t="str">
        <f t="shared" si="2"/>
        <v>Закрито</v>
      </c>
      <c r="K40" s="5">
        <v>45597</v>
      </c>
      <c r="L40" s="1" t="str">
        <f>"150.0"</f>
        <v>150.0</v>
      </c>
      <c r="M40" s="1" t="s">
        <v>22</v>
      </c>
      <c r="N40" s="5">
        <v>45597</v>
      </c>
    </row>
    <row r="41" spans="1:14" x14ac:dyDescent="0.3">
      <c r="A41" s="1" t="str">
        <f>"2_1679/2129-11/2024/С"</f>
        <v>2_1679/2129-11/2024/С</v>
      </c>
      <c r="B41" s="6">
        <v>45597</v>
      </c>
      <c r="C41" s="1" t="str">
        <f>"00041"</f>
        <v>00041</v>
      </c>
      <c r="D4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41" s="1" t="s">
        <v>20</v>
      </c>
      <c r="F41" s="1" t="str">
        <f t="shared" si="3"/>
        <v>Центр надання адміністративних послуг Рогатинської міської ради</v>
      </c>
      <c r="G41" s="1" t="str">
        <f t="shared" ref="G41:G49" si="4">"Фізична особа"</f>
        <v>Фізична особа</v>
      </c>
      <c r="H41" s="1" t="s">
        <v>20</v>
      </c>
      <c r="I41" s="1" t="s">
        <v>20</v>
      </c>
      <c r="J41" s="1" t="str">
        <f t="shared" si="2"/>
        <v>Закрито</v>
      </c>
      <c r="K41" s="5">
        <v>45597</v>
      </c>
      <c r="L41" s="1" t="s">
        <v>20</v>
      </c>
      <c r="M41" s="1" t="s">
        <v>22</v>
      </c>
      <c r="N41" s="5">
        <v>45597</v>
      </c>
    </row>
    <row r="42" spans="1:14" x14ac:dyDescent="0.3">
      <c r="A42" s="1" t="str">
        <f>"28_614-11/2024/М"</f>
        <v>28_614-11/2024/М</v>
      </c>
      <c r="B42" s="6">
        <v>45597</v>
      </c>
      <c r="C42" s="1" t="str">
        <f>"00038"</f>
        <v>00038</v>
      </c>
      <c r="D4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2" s="1" t="s">
        <v>20</v>
      </c>
      <c r="F42" s="1" t="str">
        <f t="shared" si="3"/>
        <v>Центр надання адміністративних послуг Рогатинської міської ради</v>
      </c>
      <c r="G42" s="1" t="str">
        <f t="shared" si="4"/>
        <v>Фізична особа</v>
      </c>
      <c r="H42" s="1" t="s">
        <v>20</v>
      </c>
      <c r="I42" s="1" t="s">
        <v>20</v>
      </c>
      <c r="J42" s="1" t="str">
        <f t="shared" si="2"/>
        <v>Закрито</v>
      </c>
      <c r="K42" s="5">
        <v>45597</v>
      </c>
      <c r="L42" s="1" t="s">
        <v>20</v>
      </c>
      <c r="M42" s="1" t="s">
        <v>22</v>
      </c>
      <c r="N42" s="5">
        <v>45597</v>
      </c>
    </row>
    <row r="43" spans="1:14" x14ac:dyDescent="0.3">
      <c r="A43" s="1" t="str">
        <f>"2_1680/2129-11/2024/І"</f>
        <v>2_1680/2129-11/2024/І</v>
      </c>
      <c r="B43" s="6">
        <v>45597</v>
      </c>
      <c r="C43" s="1" t="str">
        <f>"00041"</f>
        <v>00041</v>
      </c>
      <c r="D43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43" s="1" t="s">
        <v>20</v>
      </c>
      <c r="F43" s="1" t="str">
        <f t="shared" si="3"/>
        <v>Центр надання адміністративних послуг Рогатинської міської ради</v>
      </c>
      <c r="G43" s="1" t="str">
        <f t="shared" si="4"/>
        <v>Фізична особа</v>
      </c>
      <c r="H43" s="1" t="s">
        <v>20</v>
      </c>
      <c r="I43" s="1" t="s">
        <v>20</v>
      </c>
      <c r="J43" s="1" t="str">
        <f t="shared" si="2"/>
        <v>Закрито</v>
      </c>
      <c r="K43" s="5">
        <v>45597</v>
      </c>
      <c r="L43" s="1" t="s">
        <v>20</v>
      </c>
      <c r="M43" s="1" t="s">
        <v>22</v>
      </c>
      <c r="N43" s="5">
        <v>45597</v>
      </c>
    </row>
    <row r="44" spans="1:14" x14ac:dyDescent="0.3">
      <c r="A44" s="1" t="str">
        <f>"5_466-11/2024/Х"</f>
        <v>5_466-11/2024/Х</v>
      </c>
      <c r="B44" s="6">
        <v>45597</v>
      </c>
      <c r="C44" s="1" t="str">
        <f>"00038"</f>
        <v>00038</v>
      </c>
      <c r="D4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4" s="1" t="s">
        <v>20</v>
      </c>
      <c r="F44" s="1" t="str">
        <f t="shared" si="3"/>
        <v>Центр надання адміністративних послуг Рогатинської міської ради</v>
      </c>
      <c r="G44" s="1" t="str">
        <f t="shared" si="4"/>
        <v>Фізична особа</v>
      </c>
      <c r="H44" s="1" t="s">
        <v>20</v>
      </c>
      <c r="I44" s="1" t="s">
        <v>20</v>
      </c>
      <c r="J44" s="1" t="str">
        <f t="shared" si="2"/>
        <v>Закрито</v>
      </c>
      <c r="K44" s="5">
        <v>45597</v>
      </c>
      <c r="L44" s="1" t="s">
        <v>20</v>
      </c>
      <c r="M44" s="1" t="s">
        <v>22</v>
      </c>
      <c r="N44" s="5">
        <v>45597</v>
      </c>
    </row>
    <row r="45" spans="1:14" x14ac:dyDescent="0.3">
      <c r="A45" s="1" t="str">
        <f>"28_615-11/2024/М"</f>
        <v>28_615-11/2024/М</v>
      </c>
      <c r="B45" s="6">
        <v>45597</v>
      </c>
      <c r="C45" s="1" t="str">
        <f>"00038"</f>
        <v>00038</v>
      </c>
      <c r="D4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5" s="1" t="s">
        <v>20</v>
      </c>
      <c r="F45" s="1" t="str">
        <f t="shared" si="3"/>
        <v>Центр надання адміністративних послуг Рогатинської міської ради</v>
      </c>
      <c r="G45" s="1" t="str">
        <f t="shared" si="4"/>
        <v>Фізична особа</v>
      </c>
      <c r="H45" s="1" t="s">
        <v>20</v>
      </c>
      <c r="I45" s="1" t="s">
        <v>20</v>
      </c>
      <c r="J45" s="1" t="str">
        <f t="shared" si="2"/>
        <v>Закрито</v>
      </c>
      <c r="K45" s="5">
        <v>45597</v>
      </c>
      <c r="L45" s="1" t="s">
        <v>20</v>
      </c>
      <c r="M45" s="1" t="s">
        <v>22</v>
      </c>
      <c r="N45" s="5">
        <v>45597</v>
      </c>
    </row>
    <row r="46" spans="1:14" x14ac:dyDescent="0.3">
      <c r="A46" s="1" t="str">
        <f>"2_1681/2129-11/2024/Ч"</f>
        <v>2_1681/2129-11/2024/Ч</v>
      </c>
      <c r="B46" s="6">
        <v>45597</v>
      </c>
      <c r="C46" s="1" t="str">
        <f>"00047"</f>
        <v>00047</v>
      </c>
      <c r="D46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46" s="1" t="s">
        <v>20</v>
      </c>
      <c r="F46" s="1" t="str">
        <f t="shared" si="3"/>
        <v>Центр надання адміністративних послуг Рогатинської міської ради</v>
      </c>
      <c r="G46" s="1" t="str">
        <f t="shared" si="4"/>
        <v>Фізична особа</v>
      </c>
      <c r="H46" s="1" t="s">
        <v>20</v>
      </c>
      <c r="I46" s="1" t="s">
        <v>20</v>
      </c>
      <c r="J46" s="1" t="str">
        <f t="shared" si="2"/>
        <v>Закрито</v>
      </c>
      <c r="K46" s="5">
        <v>45597</v>
      </c>
      <c r="L46" s="1" t="str">
        <f>"80.0"</f>
        <v>80.0</v>
      </c>
      <c r="M46" s="1" t="s">
        <v>22</v>
      </c>
      <c r="N46" s="5">
        <v>45597</v>
      </c>
    </row>
    <row r="47" spans="1:14" x14ac:dyDescent="0.3">
      <c r="A47" s="1" t="str">
        <f>"2_1682/2129-11/2024/І"</f>
        <v>2_1682/2129-11/2024/І</v>
      </c>
      <c r="B47" s="6">
        <v>45597</v>
      </c>
      <c r="C47" s="1" t="str">
        <f>"00041"</f>
        <v>00041</v>
      </c>
      <c r="D4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47" s="1" t="s">
        <v>20</v>
      </c>
      <c r="F47" s="1" t="str">
        <f t="shared" si="3"/>
        <v>Центр надання адміністративних послуг Рогатинської міської ради</v>
      </c>
      <c r="G47" s="1" t="str">
        <f t="shared" si="4"/>
        <v>Фізична особа</v>
      </c>
      <c r="H47" s="1" t="s">
        <v>20</v>
      </c>
      <c r="I47" s="1" t="s">
        <v>20</v>
      </c>
      <c r="J47" s="1" t="str">
        <f t="shared" si="2"/>
        <v>Закрито</v>
      </c>
      <c r="K47" s="5">
        <v>45597</v>
      </c>
      <c r="L47" s="1" t="s">
        <v>20</v>
      </c>
      <c r="M47" s="1" t="s">
        <v>22</v>
      </c>
      <c r="N47" s="5">
        <v>45597</v>
      </c>
    </row>
    <row r="48" spans="1:14" x14ac:dyDescent="0.3">
      <c r="A48" s="1" t="str">
        <f>"34_364-11/2024/Д"</f>
        <v>34_364-11/2024/Д</v>
      </c>
      <c r="B48" s="6">
        <v>45597</v>
      </c>
      <c r="C48" s="1" t="str">
        <f>"00133"</f>
        <v>00133</v>
      </c>
      <c r="D48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48" s="1" t="str">
        <f>"03193413"</f>
        <v>03193413</v>
      </c>
      <c r="F4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48" s="1" t="str">
        <f t="shared" si="4"/>
        <v>Фізична особа</v>
      </c>
      <c r="H48" s="1" t="s">
        <v>20</v>
      </c>
      <c r="I48" s="1" t="s">
        <v>20</v>
      </c>
      <c r="J48" s="1" t="str">
        <f t="shared" si="2"/>
        <v>Закрито</v>
      </c>
      <c r="K48" s="1" t="s">
        <v>20</v>
      </c>
      <c r="L48" s="1" t="s">
        <v>20</v>
      </c>
      <c r="M48" s="1" t="s">
        <v>22</v>
      </c>
      <c r="N48" s="1" t="s">
        <v>20</v>
      </c>
    </row>
    <row r="49" spans="1:14" x14ac:dyDescent="0.3">
      <c r="A49" s="1" t="str">
        <f>"2_1683/2129-11/2024/З"</f>
        <v>2_1683/2129-11/2024/З</v>
      </c>
      <c r="B49" s="6">
        <v>45597</v>
      </c>
      <c r="C49" s="1" t="str">
        <f>"00047"</f>
        <v>00047</v>
      </c>
      <c r="D49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49" s="1" t="s">
        <v>20</v>
      </c>
      <c r="F49" s="1" t="str">
        <f t="shared" ref="F49:F56" si="5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9" s="1" t="str">
        <f t="shared" si="4"/>
        <v>Фізична особа</v>
      </c>
      <c r="H49" s="1" t="s">
        <v>20</v>
      </c>
      <c r="I49" s="1" t="s">
        <v>20</v>
      </c>
      <c r="J49" s="1" t="str">
        <f t="shared" si="2"/>
        <v>Закрито</v>
      </c>
      <c r="K49" s="5">
        <v>45597</v>
      </c>
      <c r="L49" s="1" t="s">
        <v>20</v>
      </c>
      <c r="M49" s="1" t="s">
        <v>22</v>
      </c>
      <c r="N49" s="5">
        <v>45597</v>
      </c>
    </row>
    <row r="50" spans="1:14" x14ac:dyDescent="0.3">
      <c r="A50" s="1" t="str">
        <f>"2_1684/2129-11/2024/т"</f>
        <v>2_1684/2129-11/2024/т</v>
      </c>
      <c r="B50" s="6">
        <v>45597</v>
      </c>
      <c r="C50" s="1" t="str">
        <f>"00042"</f>
        <v>00042</v>
      </c>
      <c r="D50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50" s="1" t="s">
        <v>20</v>
      </c>
      <c r="F50" s="1" t="str">
        <f t="shared" si="5"/>
        <v>Центр надання адміністративних послуг Рогатинської міської ради</v>
      </c>
      <c r="G50" s="1" t="str">
        <f>"Юридична особа"</f>
        <v>Юридична особа</v>
      </c>
      <c r="H50" s="1" t="str">
        <f>"товариство з обмеженою відповідальністю ""Колос опілля"""</f>
        <v>товариство з обмеженою відповідальністю "Колос опілля"</v>
      </c>
      <c r="I50" s="1" t="str">
        <f>"39309535"</f>
        <v>39309535</v>
      </c>
      <c r="J50" s="1" t="str">
        <f t="shared" si="2"/>
        <v>Закрито</v>
      </c>
      <c r="K50" s="5">
        <v>45597</v>
      </c>
      <c r="L50" s="1" t="s">
        <v>20</v>
      </c>
      <c r="M50" s="1" t="s">
        <v>22</v>
      </c>
      <c r="N50" s="5">
        <v>45597</v>
      </c>
    </row>
    <row r="51" spans="1:14" x14ac:dyDescent="0.3">
      <c r="A51" s="1" t="str">
        <f>"5_485/2129-11/2024/Ф"</f>
        <v>5_485/2129-11/2024/Ф</v>
      </c>
      <c r="B51" s="6">
        <v>45597</v>
      </c>
      <c r="C51" s="1" t="str">
        <f>"00106"</f>
        <v>00106</v>
      </c>
      <c r="D51" s="2" t="str">
        <f>"Державна реєстрація фізичної особи -  підприємця"</f>
        <v>Державна реєстрація фізичної особи -  підприємця</v>
      </c>
      <c r="E51" s="1" t="s">
        <v>20</v>
      </c>
      <c r="F51" s="1" t="str">
        <f t="shared" si="5"/>
        <v>Центр надання адміністративних послуг Рогатинської міської ради</v>
      </c>
      <c r="G51" s="1" t="str">
        <f>"Фізична особа"</f>
        <v>Фізична особа</v>
      </c>
      <c r="H51" s="1" t="s">
        <v>20</v>
      </c>
      <c r="I51" s="1" t="s">
        <v>20</v>
      </c>
      <c r="J51" s="1" t="str">
        <f t="shared" si="2"/>
        <v>Закрито</v>
      </c>
      <c r="K51" s="5">
        <v>45597</v>
      </c>
      <c r="L51" s="1" t="s">
        <v>20</v>
      </c>
      <c r="M51" s="1" t="s">
        <v>22</v>
      </c>
      <c r="N51" s="5">
        <v>45597</v>
      </c>
    </row>
    <row r="52" spans="1:14" x14ac:dyDescent="0.3">
      <c r="A52" s="1" t="str">
        <f>"2_1685/2129-11/2024/А"</f>
        <v>2_1685/2129-11/2024/А</v>
      </c>
      <c r="B52" s="6">
        <v>45597</v>
      </c>
      <c r="C52" s="1" t="str">
        <f>"00041"</f>
        <v>00041</v>
      </c>
      <c r="D5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2" s="1" t="s">
        <v>20</v>
      </c>
      <c r="F52" s="1" t="str">
        <f t="shared" si="5"/>
        <v>Центр надання адміністративних послуг Рогатинської міської ради</v>
      </c>
      <c r="G52" s="1" t="str">
        <f>"Фізична особа"</f>
        <v>Фізична особа</v>
      </c>
      <c r="H52" s="1" t="s">
        <v>20</v>
      </c>
      <c r="I52" s="1" t="s">
        <v>20</v>
      </c>
      <c r="J52" s="1" t="str">
        <f t="shared" si="2"/>
        <v>Закрито</v>
      </c>
      <c r="K52" s="5">
        <v>45597</v>
      </c>
      <c r="L52" s="1" t="str">
        <f>"300.0"</f>
        <v>300.0</v>
      </c>
      <c r="M52" s="1" t="s">
        <v>22</v>
      </c>
      <c r="N52" s="5">
        <v>45597</v>
      </c>
    </row>
    <row r="53" spans="1:14" x14ac:dyDescent="0.3">
      <c r="A53" s="1" t="str">
        <f>"5_486/2129-11/2024/Т"</f>
        <v>5_486/2129-11/2024/Т</v>
      </c>
      <c r="B53" s="6">
        <v>45597</v>
      </c>
      <c r="C53" s="1" t="str">
        <f>"00054"</f>
        <v>00054</v>
      </c>
      <c r="D53" s="2" t="s">
        <v>2</v>
      </c>
      <c r="E53" s="1" t="s">
        <v>20</v>
      </c>
      <c r="F53" s="1" t="str">
        <f t="shared" si="5"/>
        <v>Центр надання адміністративних послуг Рогатинської міської ради</v>
      </c>
      <c r="G53" s="1" t="str">
        <f>"Юридична особа"</f>
        <v>Юридична особа</v>
      </c>
      <c r="H53" s="1" t="str">
        <f>"ТОВАРИСТВО З ОБМЕЖЕНОЮ ВІДПОВІДАЛЬНІСТЮ ""БАЧІВ АГРО"""</f>
        <v>ТОВАРИСТВО З ОБМЕЖЕНОЮ ВІДПОВІДАЛЬНІСТЮ "БАЧІВ АГРО"</v>
      </c>
      <c r="I53" s="1" t="str">
        <f>"36848408"</f>
        <v>36848408</v>
      </c>
      <c r="J53" s="1" t="str">
        <f t="shared" si="2"/>
        <v>Закрито</v>
      </c>
      <c r="K53" s="5">
        <v>45597</v>
      </c>
      <c r="L53" s="1" t="str">
        <f>"910.0"</f>
        <v>910.0</v>
      </c>
      <c r="M53" s="1" t="s">
        <v>22</v>
      </c>
      <c r="N53" s="5">
        <v>45600</v>
      </c>
    </row>
    <row r="54" spans="1:14" x14ac:dyDescent="0.3">
      <c r="A54" s="1" t="str">
        <f>"2_1686/2129-11/2024/П"</f>
        <v>2_1686/2129-11/2024/П</v>
      </c>
      <c r="B54" s="6">
        <v>45597</v>
      </c>
      <c r="C54" s="1" t="str">
        <f>"00041"</f>
        <v>00041</v>
      </c>
      <c r="D5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4" s="1" t="s">
        <v>20</v>
      </c>
      <c r="F54" s="1" t="str">
        <f t="shared" si="5"/>
        <v>Центр надання адміністративних послуг Рогатинської міської ради</v>
      </c>
      <c r="G54" s="1" t="str">
        <f t="shared" ref="G54:G71" si="6">"Фізична особа"</f>
        <v>Фізична особа</v>
      </c>
      <c r="H54" s="1" t="s">
        <v>20</v>
      </c>
      <c r="I54" s="1" t="s">
        <v>20</v>
      </c>
      <c r="J54" s="1" t="str">
        <f t="shared" si="2"/>
        <v>Закрито</v>
      </c>
      <c r="K54" s="5">
        <v>45597</v>
      </c>
      <c r="L54" s="1" t="str">
        <f>"300.0"</f>
        <v>300.0</v>
      </c>
      <c r="M54" s="1" t="s">
        <v>22</v>
      </c>
      <c r="N54" s="5">
        <v>45597</v>
      </c>
    </row>
    <row r="55" spans="1:14" x14ac:dyDescent="0.3">
      <c r="A55" s="1" t="str">
        <f>"26_345-11/2024/П"</f>
        <v>26_345-11/2024/П</v>
      </c>
      <c r="B55" s="6">
        <v>45597</v>
      </c>
      <c r="C55" s="1" t="str">
        <f>"00038"</f>
        <v>00038</v>
      </c>
      <c r="D5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5" s="1" t="s">
        <v>20</v>
      </c>
      <c r="F55" s="1" t="str">
        <f t="shared" si="5"/>
        <v>Центр надання адміністративних послуг Рогатинської міської ради</v>
      </c>
      <c r="G55" s="1" t="str">
        <f t="shared" si="6"/>
        <v>Фізична особа</v>
      </c>
      <c r="H55" s="1" t="s">
        <v>20</v>
      </c>
      <c r="I55" s="1" t="s">
        <v>20</v>
      </c>
      <c r="J55" s="1" t="str">
        <f t="shared" si="2"/>
        <v>Закрито</v>
      </c>
      <c r="K55" s="5">
        <v>45597</v>
      </c>
      <c r="L55" s="1" t="s">
        <v>20</v>
      </c>
      <c r="M55" s="1" t="s">
        <v>22</v>
      </c>
      <c r="N55" s="5">
        <v>45597</v>
      </c>
    </row>
    <row r="56" spans="1:14" x14ac:dyDescent="0.3">
      <c r="A56" s="1" t="str">
        <f>"2_1687/2129-11/2024/П"</f>
        <v>2_1687/2129-11/2024/П</v>
      </c>
      <c r="B56" s="6">
        <v>45597</v>
      </c>
      <c r="C56" s="1" t="str">
        <f>"00041"</f>
        <v>00041</v>
      </c>
      <c r="D5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6" s="1" t="s">
        <v>20</v>
      </c>
      <c r="F56" s="1" t="str">
        <f t="shared" si="5"/>
        <v>Центр надання адміністративних послуг Рогатинської міської ради</v>
      </c>
      <c r="G56" s="1" t="str">
        <f t="shared" si="6"/>
        <v>Фізична особа</v>
      </c>
      <c r="H56" s="1" t="s">
        <v>20</v>
      </c>
      <c r="I56" s="1" t="s">
        <v>20</v>
      </c>
      <c r="J56" s="1" t="str">
        <f t="shared" si="2"/>
        <v>Закрито</v>
      </c>
      <c r="K56" s="5">
        <v>45597</v>
      </c>
      <c r="L56" s="1" t="s">
        <v>20</v>
      </c>
      <c r="M56" s="1" t="s">
        <v>22</v>
      </c>
      <c r="N56" s="5">
        <v>45597</v>
      </c>
    </row>
    <row r="57" spans="1:14" x14ac:dyDescent="0.3">
      <c r="A57" s="1" t="str">
        <f>"2_1688/04054323-11/2024/Л"</f>
        <v>2_1688/04054323-11/2024/Л</v>
      </c>
      <c r="B57" s="6">
        <v>45597</v>
      </c>
      <c r="C57" s="1" t="str">
        <f>"00153"</f>
        <v>00153</v>
      </c>
      <c r="D57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57" s="1" t="str">
        <f>"04054323"</f>
        <v>04054323</v>
      </c>
      <c r="F57" s="1" t="str">
        <f>"Рогатинська міська рада"</f>
        <v>Рогатинська міська рада</v>
      </c>
      <c r="G57" s="1" t="str">
        <f t="shared" si="6"/>
        <v>Фізична особа</v>
      </c>
      <c r="H57" s="1" t="s">
        <v>20</v>
      </c>
      <c r="I57" s="1" t="s">
        <v>20</v>
      </c>
      <c r="J57" s="1" t="str">
        <f t="shared" si="2"/>
        <v>Закрито</v>
      </c>
      <c r="K57" s="5">
        <v>45628</v>
      </c>
      <c r="L57" s="1" t="s">
        <v>20</v>
      </c>
      <c r="M57" s="1" t="s">
        <v>22</v>
      </c>
      <c r="N57" s="5">
        <v>45628</v>
      </c>
    </row>
    <row r="58" spans="1:14" x14ac:dyDescent="0.3">
      <c r="A58" s="1" t="str">
        <f>"2_1689/2129-11/2024/О"</f>
        <v>2_1689/2129-11/2024/О</v>
      </c>
      <c r="B58" s="6">
        <v>45597</v>
      </c>
      <c r="C58" s="1" t="str">
        <f>"00041"</f>
        <v>00041</v>
      </c>
      <c r="D5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8" s="1" t="s">
        <v>20</v>
      </c>
      <c r="F5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8" s="1" t="str">
        <f t="shared" si="6"/>
        <v>Фізична особа</v>
      </c>
      <c r="H58" s="1" t="s">
        <v>20</v>
      </c>
      <c r="I58" s="1" t="s">
        <v>20</v>
      </c>
      <c r="J58" s="1" t="str">
        <f t="shared" si="2"/>
        <v>Закрито</v>
      </c>
      <c r="K58" s="5">
        <v>45597</v>
      </c>
      <c r="L58" s="1" t="str">
        <f>"300.0"</f>
        <v>300.0</v>
      </c>
      <c r="M58" s="1" t="s">
        <v>22</v>
      </c>
      <c r="N58" s="5">
        <v>45597</v>
      </c>
    </row>
    <row r="59" spans="1:14" x14ac:dyDescent="0.3">
      <c r="A59" s="1" t="str">
        <f>"2_1690/2129-11/2024/К"</f>
        <v>2_1690/2129-11/2024/К</v>
      </c>
      <c r="B59" s="6">
        <v>45597</v>
      </c>
      <c r="C59" s="1" t="str">
        <f>"00041"</f>
        <v>00041</v>
      </c>
      <c r="D5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9" s="1" t="s">
        <v>20</v>
      </c>
      <c r="F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9" s="1" t="str">
        <f t="shared" si="6"/>
        <v>Фізична особа</v>
      </c>
      <c r="H59" s="1" t="s">
        <v>20</v>
      </c>
      <c r="I59" s="1" t="s">
        <v>20</v>
      </c>
      <c r="J59" s="1" t="str">
        <f t="shared" si="2"/>
        <v>Закрито</v>
      </c>
      <c r="K59" s="5">
        <v>45597</v>
      </c>
      <c r="L59" s="1" t="str">
        <f>"300.0"</f>
        <v>300.0</v>
      </c>
      <c r="M59" s="1" t="s">
        <v>22</v>
      </c>
      <c r="N59" s="5">
        <v>45597</v>
      </c>
    </row>
    <row r="60" spans="1:14" x14ac:dyDescent="0.3">
      <c r="A60" s="1" t="str">
        <f>"3_1324/4-11/2024/Я"</f>
        <v>3_1324/4-11/2024/Я</v>
      </c>
      <c r="B60" s="6">
        <v>45597</v>
      </c>
      <c r="C60" s="1" t="str">
        <f>"00060"</f>
        <v>00060</v>
      </c>
      <c r="D60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60" s="1" t="s">
        <v>20</v>
      </c>
      <c r="F60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60" s="1" t="str">
        <f t="shared" si="6"/>
        <v>Фізична особа</v>
      </c>
      <c r="H60" s="1" t="s">
        <v>20</v>
      </c>
      <c r="I60" s="1" t="s">
        <v>20</v>
      </c>
      <c r="J60" s="1" t="str">
        <f>"Результат підготовлено СНАП"</f>
        <v>Результат підготовлено СНАП</v>
      </c>
      <c r="K60" s="5">
        <v>45614</v>
      </c>
      <c r="L60" s="1" t="str">
        <f>"151.4"</f>
        <v>151.4</v>
      </c>
      <c r="M60" s="1" t="s">
        <v>22</v>
      </c>
      <c r="N60" s="1" t="s">
        <v>20</v>
      </c>
    </row>
    <row r="61" spans="1:14" x14ac:dyDescent="0.3">
      <c r="A61" s="1" t="str">
        <f>"2_1691/2129-11/2024/Д"</f>
        <v>2_1691/2129-11/2024/Д</v>
      </c>
      <c r="B61" s="6">
        <v>45597</v>
      </c>
      <c r="C61" s="1" t="str">
        <f>"00041"</f>
        <v>00041</v>
      </c>
      <c r="D6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61" s="1" t="s">
        <v>20</v>
      </c>
      <c r="F6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1" s="1" t="str">
        <f t="shared" si="6"/>
        <v>Фізична особа</v>
      </c>
      <c r="H61" s="1" t="s">
        <v>20</v>
      </c>
      <c r="I61" s="1" t="s">
        <v>20</v>
      </c>
      <c r="J61" s="1" t="str">
        <f>"Закрито"</f>
        <v>Закрито</v>
      </c>
      <c r="K61" s="5">
        <v>45597</v>
      </c>
      <c r="L61" s="1" t="str">
        <f>"300.0"</f>
        <v>300.0</v>
      </c>
      <c r="M61" s="1" t="s">
        <v>22</v>
      </c>
      <c r="N61" s="5">
        <v>45597</v>
      </c>
    </row>
    <row r="62" spans="1:14" x14ac:dyDescent="0.3">
      <c r="A62" s="1" t="str">
        <f>"3_808-11/2024/К"</f>
        <v>3_808-11/2024/К</v>
      </c>
      <c r="B62" s="6">
        <v>45597</v>
      </c>
      <c r="C62" s="1" t="str">
        <f>"00038"</f>
        <v>00038</v>
      </c>
      <c r="D6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2" s="1" t="s">
        <v>20</v>
      </c>
      <c r="F6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2" s="1" t="str">
        <f t="shared" si="6"/>
        <v>Фізична особа</v>
      </c>
      <c r="H62" s="1" t="s">
        <v>20</v>
      </c>
      <c r="I62" s="1" t="s">
        <v>20</v>
      </c>
      <c r="J62" s="1" t="str">
        <f>"Закрито"</f>
        <v>Закрито</v>
      </c>
      <c r="K62" s="5">
        <v>45597</v>
      </c>
      <c r="L62" s="1" t="s">
        <v>20</v>
      </c>
      <c r="M62" s="1" t="s">
        <v>22</v>
      </c>
      <c r="N62" s="5">
        <v>45597</v>
      </c>
    </row>
    <row r="63" spans="1:14" x14ac:dyDescent="0.3">
      <c r="A63" s="1" t="str">
        <f>"26_346-11/2024/В"</f>
        <v>26_346-11/2024/В</v>
      </c>
      <c r="B63" s="6">
        <v>45597</v>
      </c>
      <c r="C63" s="1" t="str">
        <f>"00038"</f>
        <v>00038</v>
      </c>
      <c r="D6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3" s="1" t="s">
        <v>20</v>
      </c>
      <c r="F6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3" s="1" t="str">
        <f t="shared" si="6"/>
        <v>Фізична особа</v>
      </c>
      <c r="H63" s="1" t="s">
        <v>20</v>
      </c>
      <c r="I63" s="1" t="s">
        <v>20</v>
      </c>
      <c r="J63" s="1" t="str">
        <f>"Закрито"</f>
        <v>Закрито</v>
      </c>
      <c r="K63" s="5">
        <v>45597</v>
      </c>
      <c r="L63" s="1" t="s">
        <v>20</v>
      </c>
      <c r="M63" s="1" t="s">
        <v>22</v>
      </c>
      <c r="N63" s="5">
        <v>45597</v>
      </c>
    </row>
    <row r="64" spans="1:14" x14ac:dyDescent="0.3">
      <c r="A64" s="1" t="str">
        <f>"2_1692/2129-11/2024/П"</f>
        <v>2_1692/2129-11/2024/П</v>
      </c>
      <c r="B64" s="6">
        <v>45597</v>
      </c>
      <c r="C64" s="1" t="str">
        <f>"00041"</f>
        <v>00041</v>
      </c>
      <c r="D6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64" s="1" t="s">
        <v>20</v>
      </c>
      <c r="F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4" s="1" t="str">
        <f t="shared" si="6"/>
        <v>Фізична особа</v>
      </c>
      <c r="H64" s="1" t="s">
        <v>20</v>
      </c>
      <c r="I64" s="1" t="s">
        <v>20</v>
      </c>
      <c r="J64" s="1" t="str">
        <f>"Закрито"</f>
        <v>Закрито</v>
      </c>
      <c r="K64" s="5">
        <v>45597</v>
      </c>
      <c r="L64" s="1" t="str">
        <f>"300.0"</f>
        <v>300.0</v>
      </c>
      <c r="M64" s="1" t="s">
        <v>22</v>
      </c>
      <c r="N64" s="5">
        <v>45597</v>
      </c>
    </row>
    <row r="65" spans="1:14" x14ac:dyDescent="0.3">
      <c r="A65" s="1" t="str">
        <f>"3_1325/4-11/2024/Я"</f>
        <v>3_1325/4-11/2024/Я</v>
      </c>
      <c r="B65" s="6">
        <v>45597</v>
      </c>
      <c r="C65" s="1" t="str">
        <f>"00060"</f>
        <v>00060</v>
      </c>
      <c r="D65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65" s="1" t="s">
        <v>20</v>
      </c>
      <c r="F65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65" s="1" t="str">
        <f t="shared" si="6"/>
        <v>Фізична особа</v>
      </c>
      <c r="H65" s="1" t="s">
        <v>20</v>
      </c>
      <c r="I65" s="1" t="s">
        <v>20</v>
      </c>
      <c r="J65" s="1" t="str">
        <f>"Результат підготовлено СНАП"</f>
        <v>Результат підготовлено СНАП</v>
      </c>
      <c r="K65" s="5">
        <v>45614</v>
      </c>
      <c r="L65" s="1" t="str">
        <f>"151.4"</f>
        <v>151.4</v>
      </c>
      <c r="M65" s="1" t="s">
        <v>22</v>
      </c>
      <c r="N65" s="1" t="s">
        <v>20</v>
      </c>
    </row>
    <row r="66" spans="1:14" x14ac:dyDescent="0.3">
      <c r="A66" s="1" t="str">
        <f>"2_1693/2129-11/2024/П"</f>
        <v>2_1693/2129-11/2024/П</v>
      </c>
      <c r="B66" s="6">
        <v>45597</v>
      </c>
      <c r="C66" s="1" t="str">
        <f>"00041"</f>
        <v>00041</v>
      </c>
      <c r="D6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66" s="1" t="s">
        <v>20</v>
      </c>
      <c r="F66" s="1" t="str">
        <f t="shared" ref="F66:F72" si="7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6" s="1" t="str">
        <f t="shared" si="6"/>
        <v>Фізична особа</v>
      </c>
      <c r="H66" s="1" t="s">
        <v>20</v>
      </c>
      <c r="I66" s="1" t="s">
        <v>20</v>
      </c>
      <c r="J66" s="1" t="str">
        <f t="shared" ref="J66:J75" si="8">"Закрито"</f>
        <v>Закрито</v>
      </c>
      <c r="K66" s="5">
        <v>45597</v>
      </c>
      <c r="L66" s="1" t="str">
        <f>"300.0"</f>
        <v>300.0</v>
      </c>
      <c r="M66" s="1" t="s">
        <v>22</v>
      </c>
      <c r="N66" s="5">
        <v>45597</v>
      </c>
    </row>
    <row r="67" spans="1:14" x14ac:dyDescent="0.3">
      <c r="A67" s="1" t="str">
        <f>"3_809-11/2024/К"</f>
        <v>3_809-11/2024/К</v>
      </c>
      <c r="B67" s="6">
        <v>45597</v>
      </c>
      <c r="C67" s="1" t="str">
        <f>"00038"</f>
        <v>00038</v>
      </c>
      <c r="D6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7" s="1" t="s">
        <v>20</v>
      </c>
      <c r="F67" s="1" t="str">
        <f t="shared" si="7"/>
        <v>Центр надання адміністративних послуг Рогатинської міської ради</v>
      </c>
      <c r="G67" s="1" t="str">
        <f t="shared" si="6"/>
        <v>Фізична особа</v>
      </c>
      <c r="H67" s="1" t="s">
        <v>20</v>
      </c>
      <c r="I67" s="1" t="s">
        <v>20</v>
      </c>
      <c r="J67" s="1" t="str">
        <f t="shared" si="8"/>
        <v>Закрито</v>
      </c>
      <c r="K67" s="5">
        <v>45597</v>
      </c>
      <c r="L67" s="1" t="s">
        <v>20</v>
      </c>
      <c r="M67" s="1" t="s">
        <v>22</v>
      </c>
      <c r="N67" s="5">
        <v>45597</v>
      </c>
    </row>
    <row r="68" spans="1:14" x14ac:dyDescent="0.3">
      <c r="A68" s="1" t="str">
        <f>"2_1694/2129-11/2024/С"</f>
        <v>2_1694/2129-11/2024/С</v>
      </c>
      <c r="B68" s="6">
        <v>45597</v>
      </c>
      <c r="C68" s="1" t="str">
        <f>"00041"</f>
        <v>00041</v>
      </c>
      <c r="D6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68" s="1" t="s">
        <v>20</v>
      </c>
      <c r="F68" s="1" t="str">
        <f t="shared" si="7"/>
        <v>Центр надання адміністративних послуг Рогатинської міської ради</v>
      </c>
      <c r="G68" s="1" t="str">
        <f t="shared" si="6"/>
        <v>Фізична особа</v>
      </c>
      <c r="H68" s="1" t="s">
        <v>20</v>
      </c>
      <c r="I68" s="1" t="s">
        <v>20</v>
      </c>
      <c r="J68" s="1" t="str">
        <f t="shared" si="8"/>
        <v>Закрито</v>
      </c>
      <c r="K68" s="5">
        <v>45597</v>
      </c>
      <c r="L68" s="1" t="str">
        <f>"300.0"</f>
        <v>300.0</v>
      </c>
      <c r="M68" s="1" t="s">
        <v>22</v>
      </c>
      <c r="N68" s="5">
        <v>45597</v>
      </c>
    </row>
    <row r="69" spans="1:14" x14ac:dyDescent="0.3">
      <c r="A69" s="1" t="str">
        <f>"26_347-11/2024/П"</f>
        <v>26_347-11/2024/П</v>
      </c>
      <c r="B69" s="6">
        <v>45597</v>
      </c>
      <c r="C69" s="1" t="str">
        <f>"00038"</f>
        <v>00038</v>
      </c>
      <c r="D6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9" s="1" t="s">
        <v>20</v>
      </c>
      <c r="F69" s="1" t="str">
        <f t="shared" si="7"/>
        <v>Центр надання адміністративних послуг Рогатинської міської ради</v>
      </c>
      <c r="G69" s="1" t="str">
        <f t="shared" si="6"/>
        <v>Фізична особа</v>
      </c>
      <c r="H69" s="1" t="s">
        <v>20</v>
      </c>
      <c r="I69" s="1" t="s">
        <v>20</v>
      </c>
      <c r="J69" s="1" t="str">
        <f t="shared" si="8"/>
        <v>Закрито</v>
      </c>
      <c r="K69" s="5">
        <v>45597</v>
      </c>
      <c r="L69" s="1" t="s">
        <v>20</v>
      </c>
      <c r="M69" s="1" t="s">
        <v>22</v>
      </c>
      <c r="N69" s="5">
        <v>45597</v>
      </c>
    </row>
    <row r="70" spans="1:14" x14ac:dyDescent="0.3">
      <c r="A70" s="1" t="str">
        <f>"2_1695/2129-11/2024/С"</f>
        <v>2_1695/2129-11/2024/С</v>
      </c>
      <c r="B70" s="6">
        <v>45597</v>
      </c>
      <c r="C70" s="1" t="str">
        <f>"00041"</f>
        <v>00041</v>
      </c>
      <c r="D7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70" s="1" t="s">
        <v>20</v>
      </c>
      <c r="F70" s="1" t="str">
        <f t="shared" si="7"/>
        <v>Центр надання адміністративних послуг Рогатинської міської ради</v>
      </c>
      <c r="G70" s="1" t="str">
        <f t="shared" si="6"/>
        <v>Фізична особа</v>
      </c>
      <c r="H70" s="1" t="s">
        <v>20</v>
      </c>
      <c r="I70" s="1" t="s">
        <v>20</v>
      </c>
      <c r="J70" s="1" t="str">
        <f t="shared" si="8"/>
        <v>Закрито</v>
      </c>
      <c r="K70" s="5">
        <v>45597</v>
      </c>
      <c r="L70" s="1" t="str">
        <f>"300.0"</f>
        <v>300.0</v>
      </c>
      <c r="M70" s="1" t="s">
        <v>22</v>
      </c>
      <c r="N70" s="5">
        <v>45597</v>
      </c>
    </row>
    <row r="71" spans="1:14" x14ac:dyDescent="0.3">
      <c r="A71" s="1" t="str">
        <f>"3_810-11/2024/С"</f>
        <v>3_810-11/2024/С</v>
      </c>
      <c r="B71" s="6">
        <v>45597</v>
      </c>
      <c r="C71" s="1" t="str">
        <f>"00038"</f>
        <v>00038</v>
      </c>
      <c r="D7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1" s="1" t="s">
        <v>20</v>
      </c>
      <c r="F71" s="1" t="str">
        <f t="shared" si="7"/>
        <v>Центр надання адміністративних послуг Рогатинської міської ради</v>
      </c>
      <c r="G71" s="1" t="str">
        <f t="shared" si="6"/>
        <v>Фізична особа</v>
      </c>
      <c r="H71" s="1" t="s">
        <v>20</v>
      </c>
      <c r="I71" s="1" t="s">
        <v>20</v>
      </c>
      <c r="J71" s="1" t="str">
        <f t="shared" si="8"/>
        <v>Закрито</v>
      </c>
      <c r="K71" s="5">
        <v>45597</v>
      </c>
      <c r="L71" s="1" t="s">
        <v>20</v>
      </c>
      <c r="M71" s="1" t="s">
        <v>22</v>
      </c>
      <c r="N71" s="5">
        <v>45597</v>
      </c>
    </row>
    <row r="72" spans="1:14" x14ac:dyDescent="0.3">
      <c r="A72" s="1" t="str">
        <f>"2_1696/2129-11/2024/П"</f>
        <v>2_1696/2129-11/2024/П</v>
      </c>
      <c r="B72" s="6">
        <v>45597</v>
      </c>
      <c r="C72" s="1" t="str">
        <f>"00042"</f>
        <v>00042</v>
      </c>
      <c r="D72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72" s="1" t="s">
        <v>20</v>
      </c>
      <c r="F72" s="1" t="str">
        <f t="shared" si="7"/>
        <v>Центр надання адміністративних послуг Рогатинської міської ради</v>
      </c>
      <c r="G72" s="1" t="str">
        <f>"Юридична особа"</f>
        <v>Юридична особа</v>
      </c>
      <c r="H72" s="1" t="str">
        <f>"ПАТ ""Національна енергетична компанія ""Укренерго"""</f>
        <v>ПАТ "Національна енергетична компанія "Укренерго"</v>
      </c>
      <c r="I72" s="1" t="str">
        <f>"00100227"</f>
        <v>00100227</v>
      </c>
      <c r="J72" s="1" t="str">
        <f t="shared" si="8"/>
        <v>Закрито</v>
      </c>
      <c r="K72" s="5">
        <v>45597</v>
      </c>
      <c r="L72" s="1" t="str">
        <f>"150.0"</f>
        <v>150.0</v>
      </c>
      <c r="M72" s="1" t="s">
        <v>22</v>
      </c>
      <c r="N72" s="5">
        <v>45597</v>
      </c>
    </row>
    <row r="73" spans="1:14" x14ac:dyDescent="0.3">
      <c r="A73" s="1" t="str">
        <f>"4_1209/03193413-11/2024/с"</f>
        <v>4_1209/03193413-11/2024/с</v>
      </c>
      <c r="B73" s="6">
        <v>45597</v>
      </c>
      <c r="C73" s="1" t="str">
        <f>"00155"</f>
        <v>00155</v>
      </c>
      <c r="D73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73" s="1" t="str">
        <f>"03193413"</f>
        <v>03193413</v>
      </c>
      <c r="F7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73" s="1" t="str">
        <f>"Фізична особа"</f>
        <v>Фізична особа</v>
      </c>
      <c r="H73" s="1" t="s">
        <v>20</v>
      </c>
      <c r="I73" s="1" t="s">
        <v>20</v>
      </c>
      <c r="J73" s="1" t="str">
        <f t="shared" si="8"/>
        <v>Закрито</v>
      </c>
      <c r="K73" s="5">
        <v>45600</v>
      </c>
      <c r="L73" s="1" t="s">
        <v>20</v>
      </c>
      <c r="M73" s="1" t="s">
        <v>22</v>
      </c>
      <c r="N73" s="5">
        <v>45600</v>
      </c>
    </row>
    <row r="74" spans="1:14" x14ac:dyDescent="0.3">
      <c r="A74" s="1" t="str">
        <f>"2_1697/2129-11/2024/П"</f>
        <v>2_1697/2129-11/2024/П</v>
      </c>
      <c r="B74" s="6">
        <v>45597</v>
      </c>
      <c r="C74" s="1" t="str">
        <f>"00042"</f>
        <v>00042</v>
      </c>
      <c r="D74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74" s="1" t="s">
        <v>20</v>
      </c>
      <c r="F7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4" s="1" t="str">
        <f>"Юридична особа"</f>
        <v>Юридична особа</v>
      </c>
      <c r="H74" s="1" t="str">
        <f>"ПАТ ""Національна енергетична компанія ""Укренерго"""</f>
        <v>ПАТ "Національна енергетична компанія "Укренерго"</v>
      </c>
      <c r="I74" s="1" t="str">
        <f>"00100227"</f>
        <v>00100227</v>
      </c>
      <c r="J74" s="1" t="str">
        <f t="shared" si="8"/>
        <v>Закрито</v>
      </c>
      <c r="K74" s="5">
        <v>45597</v>
      </c>
      <c r="L74" s="1" t="str">
        <f>"120.0"</f>
        <v>120.0</v>
      </c>
      <c r="M74" s="1" t="s">
        <v>22</v>
      </c>
      <c r="N74" s="5">
        <v>45597</v>
      </c>
    </row>
    <row r="75" spans="1:14" x14ac:dyDescent="0.3">
      <c r="A75" s="1" t="str">
        <f>"20_149-11/2024/Л"</f>
        <v>20_149-11/2024/Л</v>
      </c>
      <c r="B75" s="6">
        <v>45597</v>
      </c>
      <c r="C75" s="1" t="str">
        <f>"00038"</f>
        <v>00038</v>
      </c>
      <c r="D7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5" s="1" t="s">
        <v>20</v>
      </c>
      <c r="F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5" s="1" t="str">
        <f t="shared" ref="G75:G81" si="9">"Фізична особа"</f>
        <v>Фізична особа</v>
      </c>
      <c r="H75" s="1" t="s">
        <v>20</v>
      </c>
      <c r="I75" s="1" t="s">
        <v>20</v>
      </c>
      <c r="J75" s="1" t="str">
        <f t="shared" si="8"/>
        <v>Закрито</v>
      </c>
      <c r="K75" s="5">
        <v>45597</v>
      </c>
      <c r="L75" s="1" t="s">
        <v>20</v>
      </c>
      <c r="M75" s="1" t="s">
        <v>22</v>
      </c>
      <c r="N75" s="5">
        <v>45597</v>
      </c>
    </row>
    <row r="76" spans="1:14" x14ac:dyDescent="0.3">
      <c r="A76" s="1" t="str">
        <f>"4_1210/03193413-11/2024/В"</f>
        <v>4_1210/03193413-11/2024/В</v>
      </c>
      <c r="B76" s="6">
        <v>45597</v>
      </c>
      <c r="C76" s="1" t="str">
        <f>"00155"</f>
        <v>00155</v>
      </c>
      <c r="D76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76" s="1" t="str">
        <f>"03193413"</f>
        <v>03193413</v>
      </c>
      <c r="F7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76" s="1" t="str">
        <f t="shared" si="9"/>
        <v>Фізична особа</v>
      </c>
      <c r="H76" s="1" t="s">
        <v>20</v>
      </c>
      <c r="I76" s="1" t="s">
        <v>20</v>
      </c>
      <c r="J76" s="1" t="str">
        <f>"Заявника сповіщено про результат"</f>
        <v>Заявника сповіщено про результат</v>
      </c>
      <c r="K76" s="5">
        <v>45600</v>
      </c>
      <c r="L76" s="1" t="s">
        <v>20</v>
      </c>
      <c r="M76" s="1" t="s">
        <v>22</v>
      </c>
      <c r="N76" s="5">
        <v>45600</v>
      </c>
    </row>
    <row r="77" spans="1:14" x14ac:dyDescent="0.3">
      <c r="A77" s="1" t="str">
        <f>"2_1698/2129-11/2024/М"</f>
        <v>2_1698/2129-11/2024/М</v>
      </c>
      <c r="B77" s="6">
        <v>45597</v>
      </c>
      <c r="C77" s="1" t="str">
        <f>"00041"</f>
        <v>00041</v>
      </c>
      <c r="D7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77" s="1" t="s">
        <v>20</v>
      </c>
      <c r="F7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7" s="1" t="str">
        <f t="shared" si="9"/>
        <v>Фізична особа</v>
      </c>
      <c r="H77" s="1" t="s">
        <v>20</v>
      </c>
      <c r="I77" s="1" t="s">
        <v>20</v>
      </c>
      <c r="J77" s="1" t="str">
        <f t="shared" ref="J77:J82" si="10">"Закрито"</f>
        <v>Закрито</v>
      </c>
      <c r="K77" s="5">
        <v>45597</v>
      </c>
      <c r="L77" s="1" t="str">
        <f>"300.0"</f>
        <v>300.0</v>
      </c>
      <c r="M77" s="1" t="s">
        <v>22</v>
      </c>
      <c r="N77" s="5">
        <v>45597</v>
      </c>
    </row>
    <row r="78" spans="1:14" x14ac:dyDescent="0.3">
      <c r="A78" s="1" t="str">
        <f>"4_1211/03193413-11/2024/Ф"</f>
        <v>4_1211/03193413-11/2024/Ф</v>
      </c>
      <c r="B78" s="6">
        <v>45597</v>
      </c>
      <c r="C78" s="1" t="str">
        <f>"00155"</f>
        <v>00155</v>
      </c>
      <c r="D78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78" s="1" t="str">
        <f>"03193413"</f>
        <v>03193413</v>
      </c>
      <c r="F7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78" s="1" t="str">
        <f t="shared" si="9"/>
        <v>Фізична особа</v>
      </c>
      <c r="H78" s="1" t="s">
        <v>20</v>
      </c>
      <c r="I78" s="1" t="s">
        <v>20</v>
      </c>
      <c r="J78" s="1" t="str">
        <f t="shared" si="10"/>
        <v>Закрито</v>
      </c>
      <c r="K78" s="5">
        <v>45597</v>
      </c>
      <c r="L78" s="1" t="s">
        <v>20</v>
      </c>
      <c r="M78" s="1" t="s">
        <v>22</v>
      </c>
      <c r="N78" s="5">
        <v>45597</v>
      </c>
    </row>
    <row r="79" spans="1:14" x14ac:dyDescent="0.3">
      <c r="A79" s="1" t="str">
        <f>"2_1699/2129-11/2024/М"</f>
        <v>2_1699/2129-11/2024/М</v>
      </c>
      <c r="B79" s="6">
        <v>45597</v>
      </c>
      <c r="C79" s="1" t="str">
        <f>"00041"</f>
        <v>00041</v>
      </c>
      <c r="D7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79" s="1" t="s">
        <v>20</v>
      </c>
      <c r="F7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9" s="1" t="str">
        <f t="shared" si="9"/>
        <v>Фізична особа</v>
      </c>
      <c r="H79" s="1" t="s">
        <v>20</v>
      </c>
      <c r="I79" s="1" t="s">
        <v>20</v>
      </c>
      <c r="J79" s="1" t="str">
        <f t="shared" si="10"/>
        <v>Закрито</v>
      </c>
      <c r="K79" s="5">
        <v>45597</v>
      </c>
      <c r="L79" s="1" t="str">
        <f>"300.0"</f>
        <v>300.0</v>
      </c>
      <c r="M79" s="1" t="s">
        <v>22</v>
      </c>
      <c r="N79" s="5">
        <v>45597</v>
      </c>
    </row>
    <row r="80" spans="1:14" x14ac:dyDescent="0.3">
      <c r="A80" s="1" t="str">
        <f>"2_1700/2129-11/2024/М"</f>
        <v>2_1700/2129-11/2024/М</v>
      </c>
      <c r="B80" s="6">
        <v>45597</v>
      </c>
      <c r="C80" s="1" t="str">
        <f>"00041"</f>
        <v>00041</v>
      </c>
      <c r="D8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80" s="1" t="s">
        <v>20</v>
      </c>
      <c r="F8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0" s="1" t="str">
        <f t="shared" si="9"/>
        <v>Фізична особа</v>
      </c>
      <c r="H80" s="1" t="s">
        <v>20</v>
      </c>
      <c r="I80" s="1" t="s">
        <v>20</v>
      </c>
      <c r="J80" s="1" t="str">
        <f t="shared" si="10"/>
        <v>Закрито</v>
      </c>
      <c r="K80" s="5">
        <v>45597</v>
      </c>
      <c r="L80" s="1" t="str">
        <f>"300.0"</f>
        <v>300.0</v>
      </c>
      <c r="M80" s="1" t="s">
        <v>22</v>
      </c>
      <c r="N80" s="5">
        <v>45597</v>
      </c>
    </row>
    <row r="81" spans="1:14" x14ac:dyDescent="0.3">
      <c r="A81" s="1" t="str">
        <f>"4_1212/03193413-11/2024/Г"</f>
        <v>4_1212/03193413-11/2024/Г</v>
      </c>
      <c r="B81" s="6">
        <v>45597</v>
      </c>
      <c r="C81" s="1" t="str">
        <f>"00155"</f>
        <v>00155</v>
      </c>
      <c r="D81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81" s="1" t="str">
        <f>"03193413"</f>
        <v>03193413</v>
      </c>
      <c r="F8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1" s="1" t="str">
        <f t="shared" si="9"/>
        <v>Фізична особа</v>
      </c>
      <c r="H81" s="1" t="s">
        <v>20</v>
      </c>
      <c r="I81" s="1" t="s">
        <v>20</v>
      </c>
      <c r="J81" s="1" t="str">
        <f t="shared" si="10"/>
        <v>Закрито</v>
      </c>
      <c r="K81" s="5">
        <v>45615</v>
      </c>
      <c r="L81" s="1" t="s">
        <v>20</v>
      </c>
      <c r="M81" s="1" t="s">
        <v>22</v>
      </c>
      <c r="N81" s="5">
        <v>45615</v>
      </c>
    </row>
    <row r="82" spans="1:14" x14ac:dyDescent="0.3">
      <c r="A82" s="1" t="str">
        <f>"9_1573/04054323-11/2024/Р"</f>
        <v>9_1573/04054323-11/2024/Р</v>
      </c>
      <c r="B82" s="6">
        <v>45597</v>
      </c>
      <c r="C82" s="1" t="str">
        <f>"00182"</f>
        <v>00182</v>
      </c>
      <c r="D82" s="2" t="str">
        <f>"Затвердження проекту землеустрою щодо відведення земельної ділянки"</f>
        <v>Затвердження проекту землеустрою щодо відведення земельної ділянки</v>
      </c>
      <c r="E82" s="1" t="str">
        <f>"04054323"</f>
        <v>04054323</v>
      </c>
      <c r="F82" s="1" t="str">
        <f>"Рогатинська міська рада"</f>
        <v>Рогатинська міська рада</v>
      </c>
      <c r="G82" s="1" t="str">
        <f>"Юридична особа"</f>
        <v>Юридична особа</v>
      </c>
      <c r="H82" s="1" t="str">
        <f>"РГ УГКЦ Воскресіння Ісуса Христа с. Бабухів"</f>
        <v>РГ УГКЦ Воскресіння Ісуса Христа с. Бабухів</v>
      </c>
      <c r="I82" s="1" t="s">
        <v>20</v>
      </c>
      <c r="J82" s="1" t="str">
        <f t="shared" si="10"/>
        <v>Закрито</v>
      </c>
      <c r="K82" s="5">
        <v>45637</v>
      </c>
      <c r="L82" s="1" t="s">
        <v>20</v>
      </c>
      <c r="M82" s="1" t="s">
        <v>22</v>
      </c>
      <c r="N82" s="5">
        <v>45637</v>
      </c>
    </row>
    <row r="83" spans="1:14" x14ac:dyDescent="0.3">
      <c r="A83" s="1" t="str">
        <f>"9_544-11/2024/Т"</f>
        <v>9_544-11/2024/Т</v>
      </c>
      <c r="B83" s="6">
        <v>45597</v>
      </c>
      <c r="C83" s="1" t="str">
        <f>"01974"</f>
        <v>01974</v>
      </c>
      <c r="D83" s="2" t="str">
        <f>"Призначення пільги на оплату житла, комунальних послуг"</f>
        <v>Призначення пільги на оплату житла, комунальних послуг</v>
      </c>
      <c r="E83" s="1" t="str">
        <f>"03193413"</f>
        <v>03193413</v>
      </c>
      <c r="F8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3" s="1" t="str">
        <f t="shared" ref="G83:G100" si="11">"Фізична особа"</f>
        <v>Фізична особа</v>
      </c>
      <c r="H83" s="1" t="s">
        <v>20</v>
      </c>
      <c r="I83" s="1" t="s">
        <v>20</v>
      </c>
      <c r="J83" s="1" t="str">
        <f>"Заявника сповіщено про результат"</f>
        <v>Заявника сповіщено про результат</v>
      </c>
      <c r="K83" s="5">
        <v>45653</v>
      </c>
      <c r="L83" s="1" t="s">
        <v>20</v>
      </c>
      <c r="M83" s="1" t="s">
        <v>22</v>
      </c>
      <c r="N83" s="5">
        <v>45653</v>
      </c>
    </row>
    <row r="84" spans="1:14" x14ac:dyDescent="0.3">
      <c r="A84" s="1" t="str">
        <f>"2_1701/2129-11/2024/П"</f>
        <v>2_1701/2129-11/2024/П</v>
      </c>
      <c r="B84" s="6">
        <v>45597</v>
      </c>
      <c r="C84" s="1" t="str">
        <f>"00041"</f>
        <v>00041</v>
      </c>
      <c r="D8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84" s="1" t="s">
        <v>20</v>
      </c>
      <c r="F8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4" s="1" t="str">
        <f t="shared" si="11"/>
        <v>Фізична особа</v>
      </c>
      <c r="H84" s="1" t="s">
        <v>20</v>
      </c>
      <c r="I84" s="1" t="s">
        <v>20</v>
      </c>
      <c r="J84" s="1" t="str">
        <f t="shared" ref="J84:J123" si="12">"Закрито"</f>
        <v>Закрито</v>
      </c>
      <c r="K84" s="5">
        <v>45597</v>
      </c>
      <c r="L84" s="1" t="s">
        <v>20</v>
      </c>
      <c r="M84" s="1" t="s">
        <v>22</v>
      </c>
      <c r="N84" s="5">
        <v>45597</v>
      </c>
    </row>
    <row r="85" spans="1:14" x14ac:dyDescent="0.3">
      <c r="A85" s="1" t="str">
        <f>"4_1213/03193413-11/2024/В"</f>
        <v>4_1213/03193413-11/2024/В</v>
      </c>
      <c r="B85" s="6">
        <v>45597</v>
      </c>
      <c r="C85" s="1" t="str">
        <f>"00133"</f>
        <v>00133</v>
      </c>
      <c r="D85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85" s="1" t="str">
        <f>"03193413"</f>
        <v>03193413</v>
      </c>
      <c r="F8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5" s="1" t="str">
        <f t="shared" si="11"/>
        <v>Фізична особа</v>
      </c>
      <c r="H85" s="1" t="s">
        <v>20</v>
      </c>
      <c r="I85" s="1" t="s">
        <v>20</v>
      </c>
      <c r="J85" s="1" t="str">
        <f t="shared" si="12"/>
        <v>Закрито</v>
      </c>
      <c r="K85" s="5">
        <v>45615</v>
      </c>
      <c r="L85" s="1" t="s">
        <v>20</v>
      </c>
      <c r="M85" s="1" t="s">
        <v>22</v>
      </c>
      <c r="N85" s="5">
        <v>45615</v>
      </c>
    </row>
    <row r="86" spans="1:14" x14ac:dyDescent="0.3">
      <c r="A86" s="1" t="str">
        <f>"2_1702/2129-11/2024/Б"</f>
        <v>2_1702/2129-11/2024/Б</v>
      </c>
      <c r="B86" s="6">
        <v>45597</v>
      </c>
      <c r="C86" s="1" t="str">
        <f>"00041"</f>
        <v>00041</v>
      </c>
      <c r="D8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86" s="1" t="s">
        <v>20</v>
      </c>
      <c r="F86" s="1" t="str">
        <f t="shared" ref="F86:F92" si="13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6" s="1" t="str">
        <f t="shared" si="11"/>
        <v>Фізична особа</v>
      </c>
      <c r="H86" s="1" t="s">
        <v>20</v>
      </c>
      <c r="I86" s="1" t="s">
        <v>20</v>
      </c>
      <c r="J86" s="1" t="str">
        <f t="shared" si="12"/>
        <v>Закрито</v>
      </c>
      <c r="K86" s="5">
        <v>45597</v>
      </c>
      <c r="L86" s="1" t="str">
        <f>"300.0"</f>
        <v>300.0</v>
      </c>
      <c r="M86" s="1" t="s">
        <v>22</v>
      </c>
      <c r="N86" s="5">
        <v>45597</v>
      </c>
    </row>
    <row r="87" spans="1:14" x14ac:dyDescent="0.3">
      <c r="A87" s="1" t="str">
        <f>"1_5607/2129-11/2024/В"</f>
        <v>1_5607/2129-11/2024/В</v>
      </c>
      <c r="B87" s="6">
        <v>45597</v>
      </c>
      <c r="C87" s="1" t="str">
        <f>"00038"</f>
        <v>00038</v>
      </c>
      <c r="D8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7" s="1" t="s">
        <v>20</v>
      </c>
      <c r="F87" s="1" t="str">
        <f t="shared" si="13"/>
        <v>Центр надання адміністративних послуг Рогатинської міської ради</v>
      </c>
      <c r="G87" s="1" t="str">
        <f t="shared" si="11"/>
        <v>Фізична особа</v>
      </c>
      <c r="H87" s="1" t="s">
        <v>20</v>
      </c>
      <c r="I87" s="1" t="s">
        <v>20</v>
      </c>
      <c r="J87" s="1" t="str">
        <f t="shared" si="12"/>
        <v>Закрито</v>
      </c>
      <c r="K87" s="8">
        <v>45597</v>
      </c>
      <c r="L87" s="1" t="s">
        <v>20</v>
      </c>
      <c r="M87" s="1" t="s">
        <v>22</v>
      </c>
      <c r="N87" s="5">
        <v>45597</v>
      </c>
    </row>
    <row r="88" spans="1:14" x14ac:dyDescent="0.3">
      <c r="A88" s="1" t="str">
        <f>"1_5608/2129-11/2024/Г"</f>
        <v>1_5608/2129-11/2024/Г</v>
      </c>
      <c r="B88" s="6">
        <v>45597</v>
      </c>
      <c r="C88" s="1" t="str">
        <f>"00038"</f>
        <v>00038</v>
      </c>
      <c r="D8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8" s="1" t="s">
        <v>20</v>
      </c>
      <c r="F88" s="1" t="str">
        <f t="shared" si="13"/>
        <v>Центр надання адміністративних послуг Рогатинської міської ради</v>
      </c>
      <c r="G88" s="1" t="str">
        <f t="shared" si="11"/>
        <v>Фізична особа</v>
      </c>
      <c r="H88" s="1" t="s">
        <v>20</v>
      </c>
      <c r="I88" s="1" t="s">
        <v>20</v>
      </c>
      <c r="J88" s="1" t="str">
        <f t="shared" si="12"/>
        <v>Закрито</v>
      </c>
      <c r="K88" s="8">
        <v>45597</v>
      </c>
      <c r="L88" s="1" t="s">
        <v>20</v>
      </c>
      <c r="M88" s="1" t="s">
        <v>22</v>
      </c>
      <c r="N88" s="5">
        <v>45597</v>
      </c>
    </row>
    <row r="89" spans="1:14" x14ac:dyDescent="0.3">
      <c r="A89" s="1" t="str">
        <f>"2_1703/2129-11/2024/Г"</f>
        <v>2_1703/2129-11/2024/Г</v>
      </c>
      <c r="B89" s="6">
        <v>45597</v>
      </c>
      <c r="C89" s="1" t="str">
        <f>"00047"</f>
        <v>00047</v>
      </c>
      <c r="D89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89" s="1" t="s">
        <v>20</v>
      </c>
      <c r="F89" s="1" t="str">
        <f t="shared" si="13"/>
        <v>Центр надання адміністративних послуг Рогатинської міської ради</v>
      </c>
      <c r="G89" s="1" t="str">
        <f t="shared" si="11"/>
        <v>Фізична особа</v>
      </c>
      <c r="H89" s="1" t="s">
        <v>20</v>
      </c>
      <c r="I89" s="1" t="s">
        <v>20</v>
      </c>
      <c r="J89" s="1" t="str">
        <f t="shared" si="12"/>
        <v>Закрито</v>
      </c>
      <c r="K89" s="5">
        <v>45597</v>
      </c>
      <c r="L89" s="1" t="str">
        <f>"80.0"</f>
        <v>80.0</v>
      </c>
      <c r="M89" s="1" t="s">
        <v>22</v>
      </c>
      <c r="N89" s="5">
        <v>45597</v>
      </c>
    </row>
    <row r="90" spans="1:14" x14ac:dyDescent="0.3">
      <c r="A90" s="1" t="str">
        <f>"2_1704/2129-11/2024/Г"</f>
        <v>2_1704/2129-11/2024/Г</v>
      </c>
      <c r="B90" s="6">
        <v>45597</v>
      </c>
      <c r="C90" s="1" t="str">
        <f>"00047"</f>
        <v>00047</v>
      </c>
      <c r="D90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90" s="1" t="s">
        <v>20</v>
      </c>
      <c r="F90" s="1" t="str">
        <f t="shared" si="13"/>
        <v>Центр надання адміністративних послуг Рогатинської міської ради</v>
      </c>
      <c r="G90" s="1" t="str">
        <f t="shared" si="11"/>
        <v>Фізична особа</v>
      </c>
      <c r="H90" s="1" t="s">
        <v>20</v>
      </c>
      <c r="I90" s="1" t="s">
        <v>20</v>
      </c>
      <c r="J90" s="1" t="str">
        <f t="shared" si="12"/>
        <v>Закрито</v>
      </c>
      <c r="K90" s="5">
        <v>45597</v>
      </c>
      <c r="L90" s="1" t="str">
        <f>"80.0"</f>
        <v>80.0</v>
      </c>
      <c r="M90" s="1" t="s">
        <v>22</v>
      </c>
      <c r="N90" s="5">
        <v>45597</v>
      </c>
    </row>
    <row r="91" spans="1:14" x14ac:dyDescent="0.3">
      <c r="A91" s="1" t="str">
        <f>"1_5609/2129-11/2024/Я"</f>
        <v>1_5609/2129-11/2024/Я</v>
      </c>
      <c r="B91" s="6">
        <v>45597</v>
      </c>
      <c r="C91" s="1" t="str">
        <f>"00038"</f>
        <v>00038</v>
      </c>
      <c r="D9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1" s="1" t="s">
        <v>20</v>
      </c>
      <c r="F91" s="1" t="str">
        <f t="shared" si="13"/>
        <v>Центр надання адміністративних послуг Рогатинської міської ради</v>
      </c>
      <c r="G91" s="1" t="str">
        <f t="shared" si="11"/>
        <v>Фізична особа</v>
      </c>
      <c r="H91" s="1" t="s">
        <v>20</v>
      </c>
      <c r="I91" s="1" t="s">
        <v>20</v>
      </c>
      <c r="J91" s="1" t="str">
        <f t="shared" si="12"/>
        <v>Закрито</v>
      </c>
      <c r="K91" s="8">
        <v>45597</v>
      </c>
      <c r="L91" s="1" t="s">
        <v>20</v>
      </c>
      <c r="M91" s="1" t="s">
        <v>22</v>
      </c>
      <c r="N91" s="5">
        <v>45597</v>
      </c>
    </row>
    <row r="92" spans="1:14" x14ac:dyDescent="0.3">
      <c r="A92" s="1" t="str">
        <f>"1_5610/2129-11/2024/В"</f>
        <v>1_5610/2129-11/2024/В</v>
      </c>
      <c r="B92" s="6">
        <v>45597</v>
      </c>
      <c r="C92" s="1" t="str">
        <f>"00038"</f>
        <v>00038</v>
      </c>
      <c r="D9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2" s="1" t="s">
        <v>20</v>
      </c>
      <c r="F92" s="1" t="str">
        <f t="shared" si="13"/>
        <v>Центр надання адміністративних послуг Рогатинської міської ради</v>
      </c>
      <c r="G92" s="1" t="str">
        <f t="shared" si="11"/>
        <v>Фізична особа</v>
      </c>
      <c r="H92" s="1" t="s">
        <v>20</v>
      </c>
      <c r="I92" s="1" t="s">
        <v>20</v>
      </c>
      <c r="J92" s="1" t="str">
        <f t="shared" si="12"/>
        <v>Закрито</v>
      </c>
      <c r="K92" s="8">
        <v>45597</v>
      </c>
      <c r="L92" s="1" t="s">
        <v>20</v>
      </c>
      <c r="M92" s="1" t="s">
        <v>22</v>
      </c>
      <c r="N92" s="5">
        <v>45597</v>
      </c>
    </row>
    <row r="93" spans="1:14" x14ac:dyDescent="0.3">
      <c r="A93" s="1" t="str">
        <f>"8_511-11/2024/Б"</f>
        <v>8_511-11/2024/Б</v>
      </c>
      <c r="B93" s="6">
        <v>45597</v>
      </c>
      <c r="C93" s="1" t="str">
        <f>"00133"</f>
        <v>00133</v>
      </c>
      <c r="D93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93" s="1" t="str">
        <f>"03193413"</f>
        <v>03193413</v>
      </c>
      <c r="F9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93" s="1" t="str">
        <f t="shared" si="11"/>
        <v>Фізична особа</v>
      </c>
      <c r="H93" s="1" t="s">
        <v>20</v>
      </c>
      <c r="I93" s="1" t="s">
        <v>20</v>
      </c>
      <c r="J93" s="1" t="str">
        <f t="shared" si="12"/>
        <v>Закрито</v>
      </c>
      <c r="K93" s="5">
        <v>45603</v>
      </c>
      <c r="L93" s="1" t="s">
        <v>20</v>
      </c>
      <c r="M93" s="1" t="s">
        <v>22</v>
      </c>
      <c r="N93" s="5">
        <v>45603</v>
      </c>
    </row>
    <row r="94" spans="1:14" x14ac:dyDescent="0.3">
      <c r="A94" s="1" t="str">
        <f>"5_467-11/2024/К"</f>
        <v>5_467-11/2024/К</v>
      </c>
      <c r="B94" s="6">
        <v>45597</v>
      </c>
      <c r="C94" s="1" t="str">
        <f>"00038"</f>
        <v>00038</v>
      </c>
      <c r="D9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4" s="1" t="s">
        <v>20</v>
      </c>
      <c r="F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4" s="1" t="str">
        <f t="shared" si="11"/>
        <v>Фізична особа</v>
      </c>
      <c r="H94" s="1" t="s">
        <v>20</v>
      </c>
      <c r="I94" s="1" t="s">
        <v>20</v>
      </c>
      <c r="J94" s="1" t="str">
        <f t="shared" si="12"/>
        <v>Закрито</v>
      </c>
      <c r="K94" s="5">
        <v>45597</v>
      </c>
      <c r="L94" s="1" t="s">
        <v>20</v>
      </c>
      <c r="M94" s="1" t="s">
        <v>22</v>
      </c>
      <c r="N94" s="5">
        <v>45597</v>
      </c>
    </row>
    <row r="95" spans="1:14" x14ac:dyDescent="0.3">
      <c r="A95" s="1" t="str">
        <f>"4_1214/03193413-11/2024/Ш"</f>
        <v>4_1214/03193413-11/2024/Ш</v>
      </c>
      <c r="B95" s="6">
        <v>45597</v>
      </c>
      <c r="C95" s="1" t="str">
        <f>"00133"</f>
        <v>00133</v>
      </c>
      <c r="D95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95" s="1" t="str">
        <f>"03193413"</f>
        <v>03193413</v>
      </c>
      <c r="F9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95" s="1" t="str">
        <f t="shared" si="11"/>
        <v>Фізична особа</v>
      </c>
      <c r="H95" s="1" t="s">
        <v>20</v>
      </c>
      <c r="I95" s="1" t="s">
        <v>20</v>
      </c>
      <c r="J95" s="1" t="str">
        <f t="shared" si="12"/>
        <v>Закрито</v>
      </c>
      <c r="K95" s="5">
        <v>45615</v>
      </c>
      <c r="L95" s="1" t="s">
        <v>20</v>
      </c>
      <c r="M95" s="1" t="s">
        <v>22</v>
      </c>
      <c r="N95" s="5">
        <v>45615</v>
      </c>
    </row>
    <row r="96" spans="1:14" x14ac:dyDescent="0.3">
      <c r="A96" s="1" t="str">
        <f>"34_365-11/2024/Б"</f>
        <v>34_365-11/2024/Б</v>
      </c>
      <c r="B96" s="6">
        <v>45597</v>
      </c>
      <c r="C96" s="1" t="str">
        <f>"33"</f>
        <v>33</v>
      </c>
      <c r="D96" s="2" t="str">
        <f>"33 Довідки різного характеру"</f>
        <v>33 Довідки різного характеру</v>
      </c>
      <c r="E96" s="1" t="s">
        <v>20</v>
      </c>
      <c r="F9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6" s="1" t="str">
        <f t="shared" si="11"/>
        <v>Фізична особа</v>
      </c>
      <c r="H96" s="1" t="s">
        <v>20</v>
      </c>
      <c r="I96" s="1" t="s">
        <v>20</v>
      </c>
      <c r="J96" s="1" t="str">
        <f t="shared" si="12"/>
        <v>Закрито</v>
      </c>
      <c r="K96" s="5">
        <v>45597</v>
      </c>
      <c r="L96" s="1" t="s">
        <v>20</v>
      </c>
      <c r="M96" s="1" t="s">
        <v>22</v>
      </c>
      <c r="N96" s="5">
        <v>45597</v>
      </c>
    </row>
    <row r="97" spans="1:14" x14ac:dyDescent="0.3">
      <c r="A97" s="1" t="str">
        <f>"21_628-11/2024/К"</f>
        <v>21_628-11/2024/К</v>
      </c>
      <c r="B97" s="6">
        <v>45597</v>
      </c>
      <c r="C97" s="1" t="str">
        <f>"00038"</f>
        <v>00038</v>
      </c>
      <c r="D9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7" s="1" t="s">
        <v>20</v>
      </c>
      <c r="F9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7" s="1" t="str">
        <f t="shared" si="11"/>
        <v>Фізична особа</v>
      </c>
      <c r="H97" s="1" t="s">
        <v>20</v>
      </c>
      <c r="I97" s="1" t="s">
        <v>20</v>
      </c>
      <c r="J97" s="1" t="str">
        <f t="shared" si="12"/>
        <v>Закрито</v>
      </c>
      <c r="K97" s="5">
        <v>45597</v>
      </c>
      <c r="L97" s="1" t="s">
        <v>20</v>
      </c>
      <c r="M97" s="1" t="s">
        <v>22</v>
      </c>
      <c r="N97" s="5">
        <v>45597</v>
      </c>
    </row>
    <row r="98" spans="1:14" x14ac:dyDescent="0.3">
      <c r="A98" s="1" t="str">
        <f>"4_1215/03193413-11/2024/К"</f>
        <v>4_1215/03193413-11/2024/К</v>
      </c>
      <c r="B98" s="6">
        <v>45597</v>
      </c>
      <c r="C98" s="1" t="str">
        <f>"01974"</f>
        <v>01974</v>
      </c>
      <c r="D98" s="2" t="str">
        <f>"Призначення пільги на оплату житла, комунальних послуг"</f>
        <v>Призначення пільги на оплату житла, комунальних послуг</v>
      </c>
      <c r="E98" s="1" t="str">
        <f>"03193413"</f>
        <v>03193413</v>
      </c>
      <c r="F9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98" s="1" t="str">
        <f t="shared" si="11"/>
        <v>Фізична особа</v>
      </c>
      <c r="H98" s="1" t="s">
        <v>20</v>
      </c>
      <c r="I98" s="1" t="s">
        <v>20</v>
      </c>
      <c r="J98" s="1" t="str">
        <f t="shared" si="12"/>
        <v>Закрито</v>
      </c>
      <c r="K98" s="5">
        <v>45629</v>
      </c>
      <c r="L98" s="1" t="s">
        <v>20</v>
      </c>
      <c r="M98" s="1" t="s">
        <v>22</v>
      </c>
      <c r="N98" s="5">
        <v>45629</v>
      </c>
    </row>
    <row r="99" spans="1:14" x14ac:dyDescent="0.3">
      <c r="A99" s="1" t="str">
        <f>"21_629-11/2024/М"</f>
        <v>21_629-11/2024/М</v>
      </c>
      <c r="B99" s="6">
        <v>45597</v>
      </c>
      <c r="C99" s="1" t="str">
        <f>"33"</f>
        <v>33</v>
      </c>
      <c r="D99" s="2" t="str">
        <f>"33 Довідки різного характеру"</f>
        <v>33 Довідки різного характеру</v>
      </c>
      <c r="E99" s="1" t="s">
        <v>20</v>
      </c>
      <c r="F9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9" s="1" t="str">
        <f t="shared" si="11"/>
        <v>Фізична особа</v>
      </c>
      <c r="H99" s="1" t="s">
        <v>20</v>
      </c>
      <c r="I99" s="1" t="s">
        <v>20</v>
      </c>
      <c r="J99" s="1" t="str">
        <f t="shared" si="12"/>
        <v>Закрито</v>
      </c>
      <c r="K99" s="5">
        <v>45597</v>
      </c>
      <c r="L99" s="1" t="s">
        <v>20</v>
      </c>
      <c r="M99" s="1" t="s">
        <v>22</v>
      </c>
      <c r="N99" s="5">
        <v>45597</v>
      </c>
    </row>
    <row r="100" spans="1:14" x14ac:dyDescent="0.3">
      <c r="A100" s="1" t="str">
        <f>"14_939-11/2024/К"</f>
        <v>14_939-11/2024/К</v>
      </c>
      <c r="B100" s="6">
        <v>45597</v>
      </c>
      <c r="C100" s="1" t="str">
        <f>"33"</f>
        <v>33</v>
      </c>
      <c r="D100" s="2" t="str">
        <f>"33 Довідки різного характеру"</f>
        <v>33 Довідки різного характеру</v>
      </c>
      <c r="E100" s="1" t="s">
        <v>20</v>
      </c>
      <c r="F10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0" s="1" t="str">
        <f t="shared" si="11"/>
        <v>Фізична особа</v>
      </c>
      <c r="H100" s="1" t="s">
        <v>20</v>
      </c>
      <c r="I100" s="1" t="s">
        <v>20</v>
      </c>
      <c r="J100" s="1" t="str">
        <f t="shared" si="12"/>
        <v>Закрито</v>
      </c>
      <c r="K100" s="5">
        <v>45597</v>
      </c>
      <c r="L100" s="1" t="s">
        <v>20</v>
      </c>
      <c r="M100" s="1" t="s">
        <v>22</v>
      </c>
      <c r="N100" s="5">
        <v>45597</v>
      </c>
    </row>
    <row r="101" spans="1:14" x14ac:dyDescent="0.3">
      <c r="A101" s="1" t="str">
        <f>"2_1705/2129-11/2024/т"</f>
        <v>2_1705/2129-11/2024/т</v>
      </c>
      <c r="B101" s="6">
        <v>45597</v>
      </c>
      <c r="C101" s="1" t="str">
        <f>"00042"</f>
        <v>00042</v>
      </c>
      <c r="D101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01" s="1" t="s">
        <v>20</v>
      </c>
      <c r="F10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1" s="1" t="str">
        <f>"Юридична особа"</f>
        <v>Юридична особа</v>
      </c>
      <c r="H101" s="1" t="str">
        <f>"товариство з обмеженою відповідальністю ""Колос Опілля"""</f>
        <v>товариство з обмеженою відповідальністю "Колос Опілля"</v>
      </c>
      <c r="I101" s="1" t="str">
        <f>"39309535"</f>
        <v>39309535</v>
      </c>
      <c r="J101" s="1" t="str">
        <f t="shared" si="12"/>
        <v>Закрито</v>
      </c>
      <c r="K101" s="5">
        <v>45597</v>
      </c>
      <c r="L101" s="1" t="s">
        <v>20</v>
      </c>
      <c r="M101" s="1" t="s">
        <v>22</v>
      </c>
      <c r="N101" s="5">
        <v>45597</v>
      </c>
    </row>
    <row r="102" spans="1:14" x14ac:dyDescent="0.3">
      <c r="A102" s="1" t="str">
        <f>"2_1706/2129-11/2024/Я"</f>
        <v>2_1706/2129-11/2024/Я</v>
      </c>
      <c r="B102" s="6">
        <v>45597</v>
      </c>
      <c r="C102" s="1" t="str">
        <f>"00041"</f>
        <v>00041</v>
      </c>
      <c r="D10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02" s="1" t="s">
        <v>20</v>
      </c>
      <c r="F10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2" s="1" t="str">
        <f t="shared" ref="G102:G128" si="14">"Фізична особа"</f>
        <v>Фізична особа</v>
      </c>
      <c r="H102" s="1" t="s">
        <v>20</v>
      </c>
      <c r="I102" s="1" t="s">
        <v>20</v>
      </c>
      <c r="J102" s="1" t="str">
        <f t="shared" si="12"/>
        <v>Закрито</v>
      </c>
      <c r="K102" s="5">
        <v>45597</v>
      </c>
      <c r="L102" s="1" t="s">
        <v>20</v>
      </c>
      <c r="M102" s="1" t="s">
        <v>22</v>
      </c>
      <c r="N102" s="5">
        <v>45597</v>
      </c>
    </row>
    <row r="103" spans="1:14" x14ac:dyDescent="0.3">
      <c r="A103" s="1" t="str">
        <f>"22_517-11/2024/Б"</f>
        <v>22_517-11/2024/Б</v>
      </c>
      <c r="B103" s="6">
        <v>45597</v>
      </c>
      <c r="C103" s="1" t="str">
        <f>"33"</f>
        <v>33</v>
      </c>
      <c r="D103" s="2" t="str">
        <f>"33 Довідки різного характеру"</f>
        <v>33 Довідки різного характеру</v>
      </c>
      <c r="E103" s="1" t="s">
        <v>20</v>
      </c>
      <c r="F10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3" s="1" t="str">
        <f t="shared" si="14"/>
        <v>Фізична особа</v>
      </c>
      <c r="H103" s="1" t="s">
        <v>20</v>
      </c>
      <c r="I103" s="1" t="s">
        <v>20</v>
      </c>
      <c r="J103" s="1" t="str">
        <f t="shared" si="12"/>
        <v>Закрито</v>
      </c>
      <c r="K103" s="5">
        <v>45597</v>
      </c>
      <c r="L103" s="1" t="s">
        <v>20</v>
      </c>
      <c r="M103" s="1" t="s">
        <v>22</v>
      </c>
      <c r="N103" s="5">
        <v>45597</v>
      </c>
    </row>
    <row r="104" spans="1:14" x14ac:dyDescent="0.3">
      <c r="A104" s="1" t="str">
        <f>"19_509-11/2024/С"</f>
        <v>19_509-11/2024/С</v>
      </c>
      <c r="B104" s="6">
        <v>45597</v>
      </c>
      <c r="C104" s="1" t="str">
        <f>"00155"</f>
        <v>00155</v>
      </c>
      <c r="D104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04" s="1" t="str">
        <f>"03193413"</f>
        <v>03193413</v>
      </c>
      <c r="F10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4" s="1" t="str">
        <f t="shared" si="14"/>
        <v>Фізична особа</v>
      </c>
      <c r="H104" s="1" t="s">
        <v>20</v>
      </c>
      <c r="I104" s="1" t="s">
        <v>20</v>
      </c>
      <c r="J104" s="1" t="str">
        <f t="shared" si="12"/>
        <v>Закрито</v>
      </c>
      <c r="K104" s="5">
        <v>45646</v>
      </c>
      <c r="L104" s="1" t="s">
        <v>20</v>
      </c>
      <c r="M104" s="1" t="s">
        <v>22</v>
      </c>
      <c r="N104" s="5">
        <v>45646</v>
      </c>
    </row>
    <row r="105" spans="1:14" x14ac:dyDescent="0.3">
      <c r="A105" s="1" t="str">
        <f>"2_1707/2129-11/2024/С"</f>
        <v>2_1707/2129-11/2024/С</v>
      </c>
      <c r="B105" s="6">
        <v>45597</v>
      </c>
      <c r="C105" s="1" t="str">
        <f>"00041"</f>
        <v>00041</v>
      </c>
      <c r="D10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05" s="1" t="s">
        <v>20</v>
      </c>
      <c r="F105" s="1" t="str">
        <f t="shared" ref="F105:F113" si="15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5" s="1" t="str">
        <f t="shared" si="14"/>
        <v>Фізична особа</v>
      </c>
      <c r="H105" s="1" t="s">
        <v>20</v>
      </c>
      <c r="I105" s="1" t="s">
        <v>20</v>
      </c>
      <c r="J105" s="1" t="str">
        <f t="shared" si="12"/>
        <v>Закрито</v>
      </c>
      <c r="K105" s="5">
        <v>45597</v>
      </c>
      <c r="L105" s="1" t="s">
        <v>20</v>
      </c>
      <c r="M105" s="1" t="s">
        <v>22</v>
      </c>
      <c r="N105" s="5">
        <v>45597</v>
      </c>
    </row>
    <row r="106" spans="1:14" x14ac:dyDescent="0.3">
      <c r="A106" s="1" t="str">
        <f>"19_510-11/2024/С"</f>
        <v>19_510-11/2024/С</v>
      </c>
      <c r="B106" s="6">
        <v>45597</v>
      </c>
      <c r="C106" s="1" t="str">
        <f>"33"</f>
        <v>33</v>
      </c>
      <c r="D106" s="2" t="str">
        <f>"33 Довідки різного характеру"</f>
        <v>33 Довідки різного характеру</v>
      </c>
      <c r="E106" s="1" t="s">
        <v>20</v>
      </c>
      <c r="F106" s="1" t="str">
        <f t="shared" si="15"/>
        <v>Центр надання адміністративних послуг Рогатинської міської ради</v>
      </c>
      <c r="G106" s="1" t="str">
        <f t="shared" si="14"/>
        <v>Фізична особа</v>
      </c>
      <c r="H106" s="1" t="s">
        <v>20</v>
      </c>
      <c r="I106" s="1" t="s">
        <v>20</v>
      </c>
      <c r="J106" s="1" t="str">
        <f t="shared" si="12"/>
        <v>Закрито</v>
      </c>
      <c r="K106" s="5">
        <v>45597</v>
      </c>
      <c r="L106" s="1" t="s">
        <v>20</v>
      </c>
      <c r="M106" s="1" t="s">
        <v>22</v>
      </c>
      <c r="N106" s="5">
        <v>45597</v>
      </c>
    </row>
    <row r="107" spans="1:14" x14ac:dyDescent="0.3">
      <c r="A107" s="1" t="str">
        <f>"2_1708/2129-11/2024/Р"</f>
        <v>2_1708/2129-11/2024/Р</v>
      </c>
      <c r="B107" s="6">
        <v>45597</v>
      </c>
      <c r="C107" s="1" t="str">
        <f>"00041"</f>
        <v>00041</v>
      </c>
      <c r="D10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07" s="1" t="s">
        <v>20</v>
      </c>
      <c r="F107" s="1" t="str">
        <f t="shared" si="15"/>
        <v>Центр надання адміністративних послуг Рогатинської міської ради</v>
      </c>
      <c r="G107" s="1" t="str">
        <f t="shared" si="14"/>
        <v>Фізична особа</v>
      </c>
      <c r="H107" s="1" t="s">
        <v>20</v>
      </c>
      <c r="I107" s="1" t="s">
        <v>20</v>
      </c>
      <c r="J107" s="1" t="str">
        <f t="shared" si="12"/>
        <v>Закрито</v>
      </c>
      <c r="K107" s="5">
        <v>45597</v>
      </c>
      <c r="L107" s="1" t="s">
        <v>20</v>
      </c>
      <c r="M107" s="1" t="s">
        <v>22</v>
      </c>
      <c r="N107" s="5">
        <v>45597</v>
      </c>
    </row>
    <row r="108" spans="1:14" x14ac:dyDescent="0.3">
      <c r="A108" s="1" t="str">
        <f>"2_1709/2129-11/2024/Р"</f>
        <v>2_1709/2129-11/2024/Р</v>
      </c>
      <c r="B108" s="6">
        <v>45597</v>
      </c>
      <c r="C108" s="1" t="str">
        <f>"00041"</f>
        <v>00041</v>
      </c>
      <c r="D10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08" s="1" t="s">
        <v>20</v>
      </c>
      <c r="F108" s="1" t="str">
        <f t="shared" si="15"/>
        <v>Центр надання адміністративних послуг Рогатинської міської ради</v>
      </c>
      <c r="G108" s="1" t="str">
        <f t="shared" si="14"/>
        <v>Фізична особа</v>
      </c>
      <c r="H108" s="1" t="s">
        <v>20</v>
      </c>
      <c r="I108" s="1" t="s">
        <v>20</v>
      </c>
      <c r="J108" s="1" t="str">
        <f t="shared" si="12"/>
        <v>Закрито</v>
      </c>
      <c r="K108" s="5">
        <v>45597</v>
      </c>
      <c r="L108" s="1" t="s">
        <v>20</v>
      </c>
      <c r="M108" s="1" t="s">
        <v>22</v>
      </c>
      <c r="N108" s="5">
        <v>45597</v>
      </c>
    </row>
    <row r="109" spans="1:14" x14ac:dyDescent="0.3">
      <c r="A109" s="1" t="str">
        <f>"2_1710/2129-11/2024/Р"</f>
        <v>2_1710/2129-11/2024/Р</v>
      </c>
      <c r="B109" s="6">
        <v>45597</v>
      </c>
      <c r="C109" s="1" t="str">
        <f>"00041"</f>
        <v>00041</v>
      </c>
      <c r="D10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09" s="1" t="s">
        <v>20</v>
      </c>
      <c r="F109" s="1" t="str">
        <f t="shared" si="15"/>
        <v>Центр надання адміністративних послуг Рогатинської міської ради</v>
      </c>
      <c r="G109" s="1" t="str">
        <f t="shared" si="14"/>
        <v>Фізична особа</v>
      </c>
      <c r="H109" s="1" t="s">
        <v>20</v>
      </c>
      <c r="I109" s="1" t="s">
        <v>20</v>
      </c>
      <c r="J109" s="1" t="str">
        <f t="shared" si="12"/>
        <v>Закрито</v>
      </c>
      <c r="K109" s="5">
        <v>45597</v>
      </c>
      <c r="L109" s="1" t="s">
        <v>20</v>
      </c>
      <c r="M109" s="1" t="s">
        <v>22</v>
      </c>
      <c r="N109" s="5">
        <v>45597</v>
      </c>
    </row>
    <row r="110" spans="1:14" x14ac:dyDescent="0.3">
      <c r="A110" s="1" t="str">
        <f>"2_1711/2129-11/2024/Я"</f>
        <v>2_1711/2129-11/2024/Я</v>
      </c>
      <c r="B110" s="6">
        <v>45597</v>
      </c>
      <c r="C110" s="1" t="str">
        <f>"00041"</f>
        <v>00041</v>
      </c>
      <c r="D11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0" s="1" t="s">
        <v>20</v>
      </c>
      <c r="F110" s="1" t="str">
        <f t="shared" si="15"/>
        <v>Центр надання адміністративних послуг Рогатинської міської ради</v>
      </c>
      <c r="G110" s="1" t="str">
        <f t="shared" si="14"/>
        <v>Фізична особа</v>
      </c>
      <c r="H110" s="1" t="s">
        <v>20</v>
      </c>
      <c r="I110" s="1" t="s">
        <v>20</v>
      </c>
      <c r="J110" s="1" t="str">
        <f t="shared" si="12"/>
        <v>Закрито</v>
      </c>
      <c r="K110" s="5">
        <v>45597</v>
      </c>
      <c r="L110" s="1" t="s">
        <v>20</v>
      </c>
      <c r="M110" s="1" t="s">
        <v>22</v>
      </c>
      <c r="N110" s="5">
        <v>45597</v>
      </c>
    </row>
    <row r="111" spans="1:14" x14ac:dyDescent="0.3">
      <c r="A111" s="1" t="str">
        <f>"2_1712/2129-11/2024/Н"</f>
        <v>2_1712/2129-11/2024/Н</v>
      </c>
      <c r="B111" s="6">
        <v>45597</v>
      </c>
      <c r="C111" s="1" t="str">
        <f>"00047"</f>
        <v>00047</v>
      </c>
      <c r="D111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11" s="1" t="s">
        <v>20</v>
      </c>
      <c r="F111" s="1" t="str">
        <f t="shared" si="15"/>
        <v>Центр надання адміністративних послуг Рогатинської міської ради</v>
      </c>
      <c r="G111" s="1" t="str">
        <f t="shared" si="14"/>
        <v>Фізична особа</v>
      </c>
      <c r="H111" s="1" t="s">
        <v>20</v>
      </c>
      <c r="I111" s="1" t="s">
        <v>20</v>
      </c>
      <c r="J111" s="1" t="str">
        <f t="shared" si="12"/>
        <v>Закрито</v>
      </c>
      <c r="K111" s="5">
        <v>45597</v>
      </c>
      <c r="L111" s="1" t="s">
        <v>20</v>
      </c>
      <c r="M111" s="1" t="s">
        <v>22</v>
      </c>
      <c r="N111" s="5">
        <v>45597</v>
      </c>
    </row>
    <row r="112" spans="1:14" x14ac:dyDescent="0.3">
      <c r="A112" s="1" t="str">
        <f>"2_1713/2129-11/2024/Н"</f>
        <v>2_1713/2129-11/2024/Н</v>
      </c>
      <c r="B112" s="6">
        <v>45597</v>
      </c>
      <c r="C112" s="1" t="str">
        <f>"00047"</f>
        <v>00047</v>
      </c>
      <c r="D112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12" s="1" t="s">
        <v>20</v>
      </c>
      <c r="F112" s="1" t="str">
        <f t="shared" si="15"/>
        <v>Центр надання адміністративних послуг Рогатинської міської ради</v>
      </c>
      <c r="G112" s="1" t="str">
        <f t="shared" si="14"/>
        <v>Фізична особа</v>
      </c>
      <c r="H112" s="1" t="s">
        <v>20</v>
      </c>
      <c r="I112" s="1" t="s">
        <v>20</v>
      </c>
      <c r="J112" s="1" t="str">
        <f t="shared" si="12"/>
        <v>Закрито</v>
      </c>
      <c r="K112" s="5">
        <v>45597</v>
      </c>
      <c r="L112" s="1" t="s">
        <v>20</v>
      </c>
      <c r="M112" s="1" t="s">
        <v>22</v>
      </c>
      <c r="N112" s="5">
        <v>45597</v>
      </c>
    </row>
    <row r="113" spans="1:14" x14ac:dyDescent="0.3">
      <c r="A113" s="1" t="str">
        <f>"2_1714/2129-11/2024/Я"</f>
        <v>2_1714/2129-11/2024/Я</v>
      </c>
      <c r="B113" s="6">
        <v>45597</v>
      </c>
      <c r="C113" s="1" t="str">
        <f>"00047"</f>
        <v>00047</v>
      </c>
      <c r="D113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13" s="1" t="s">
        <v>20</v>
      </c>
      <c r="F113" s="1" t="str">
        <f t="shared" si="15"/>
        <v>Центр надання адміністративних послуг Рогатинської міської ради</v>
      </c>
      <c r="G113" s="1" t="str">
        <f t="shared" si="14"/>
        <v>Фізична особа</v>
      </c>
      <c r="H113" s="1" t="s">
        <v>20</v>
      </c>
      <c r="I113" s="1" t="s">
        <v>20</v>
      </c>
      <c r="J113" s="1" t="str">
        <f t="shared" si="12"/>
        <v>Закрито</v>
      </c>
      <c r="K113" s="5">
        <v>45597</v>
      </c>
      <c r="L113" s="1" t="s">
        <v>20</v>
      </c>
      <c r="M113" s="1" t="s">
        <v>22</v>
      </c>
      <c r="N113" s="5">
        <v>45597</v>
      </c>
    </row>
    <row r="114" spans="1:14" x14ac:dyDescent="0.3">
      <c r="A114" s="1" t="str">
        <f>"5_468-11/2024/С"</f>
        <v>5_468-11/2024/С</v>
      </c>
      <c r="B114" s="6">
        <v>45597</v>
      </c>
      <c r="C114" s="1" t="str">
        <f>"00155"</f>
        <v>00155</v>
      </c>
      <c r="D114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14" s="1" t="str">
        <f>"03193413"</f>
        <v>03193413</v>
      </c>
      <c r="F11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4" s="1" t="str">
        <f t="shared" si="14"/>
        <v>Фізична особа</v>
      </c>
      <c r="H114" s="1" t="s">
        <v>20</v>
      </c>
      <c r="I114" s="1" t="s">
        <v>20</v>
      </c>
      <c r="J114" s="1" t="str">
        <f t="shared" si="12"/>
        <v>Закрито</v>
      </c>
      <c r="K114" s="5">
        <v>45604</v>
      </c>
      <c r="L114" s="1" t="s">
        <v>20</v>
      </c>
      <c r="M114" s="1" t="s">
        <v>22</v>
      </c>
      <c r="N114" s="5">
        <v>45604</v>
      </c>
    </row>
    <row r="115" spans="1:14" x14ac:dyDescent="0.3">
      <c r="A115" s="1" t="str">
        <f>"2_1715/2129-11/2024/Я"</f>
        <v>2_1715/2129-11/2024/Я</v>
      </c>
      <c r="B115" s="6">
        <v>45597</v>
      </c>
      <c r="C115" s="1" t="str">
        <f>"00047"</f>
        <v>00047</v>
      </c>
      <c r="D115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15" s="1" t="s">
        <v>20</v>
      </c>
      <c r="F11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5" s="1" t="str">
        <f t="shared" si="14"/>
        <v>Фізична особа</v>
      </c>
      <c r="H115" s="1" t="s">
        <v>20</v>
      </c>
      <c r="I115" s="1" t="s">
        <v>20</v>
      </c>
      <c r="J115" s="1" t="str">
        <f t="shared" si="12"/>
        <v>Закрито</v>
      </c>
      <c r="K115" s="5">
        <v>45597</v>
      </c>
      <c r="L115" s="1" t="s">
        <v>20</v>
      </c>
      <c r="M115" s="1" t="s">
        <v>22</v>
      </c>
      <c r="N115" s="5">
        <v>45597</v>
      </c>
    </row>
    <row r="116" spans="1:14" x14ac:dyDescent="0.3">
      <c r="A116" s="1" t="str">
        <f>"23_428-11/2024/В"</f>
        <v>23_428-11/2024/В</v>
      </c>
      <c r="B116" s="6">
        <v>45597</v>
      </c>
      <c r="C116" s="1" t="str">
        <f>"00064"</f>
        <v>00064</v>
      </c>
      <c r="D116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16" s="1" t="s">
        <v>20</v>
      </c>
      <c r="F116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16" s="1" t="str">
        <f t="shared" si="14"/>
        <v>Фізична особа</v>
      </c>
      <c r="H116" s="1" t="s">
        <v>20</v>
      </c>
      <c r="I116" s="1" t="s">
        <v>20</v>
      </c>
      <c r="J116" s="1" t="str">
        <f t="shared" si="12"/>
        <v>Закрито</v>
      </c>
      <c r="K116" s="5">
        <v>45597</v>
      </c>
      <c r="L116" s="1" t="s">
        <v>20</v>
      </c>
      <c r="M116" s="1" t="s">
        <v>22</v>
      </c>
      <c r="N116" s="5">
        <v>45597</v>
      </c>
    </row>
    <row r="117" spans="1:14" x14ac:dyDescent="0.3">
      <c r="A117" s="1" t="str">
        <f>"23_429-11/2024/В"</f>
        <v>23_429-11/2024/В</v>
      </c>
      <c r="B117" s="6">
        <v>45597</v>
      </c>
      <c r="C117" s="1" t="str">
        <f>"00038"</f>
        <v>00038</v>
      </c>
      <c r="D11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7" s="1" t="s">
        <v>20</v>
      </c>
      <c r="F11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7" s="1" t="str">
        <f t="shared" si="14"/>
        <v>Фізична особа</v>
      </c>
      <c r="H117" s="1" t="s">
        <v>20</v>
      </c>
      <c r="I117" s="1" t="s">
        <v>20</v>
      </c>
      <c r="J117" s="1" t="str">
        <f t="shared" si="12"/>
        <v>Закрито</v>
      </c>
      <c r="K117" s="5">
        <v>45597</v>
      </c>
      <c r="L117" s="1" t="s">
        <v>20</v>
      </c>
      <c r="M117" s="1" t="s">
        <v>22</v>
      </c>
      <c r="N117" s="5">
        <v>45597</v>
      </c>
    </row>
    <row r="118" spans="1:14" x14ac:dyDescent="0.3">
      <c r="A118" s="1" t="str">
        <f>"3_811-11/2024/І"</f>
        <v>3_811-11/2024/І</v>
      </c>
      <c r="B118" s="6">
        <v>45597</v>
      </c>
      <c r="C118" s="1" t="str">
        <f>"00133"</f>
        <v>00133</v>
      </c>
      <c r="D118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18" s="1" t="str">
        <f>"03193413"</f>
        <v>03193413</v>
      </c>
      <c r="F11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8" s="1" t="str">
        <f t="shared" si="14"/>
        <v>Фізична особа</v>
      </c>
      <c r="H118" s="1" t="s">
        <v>20</v>
      </c>
      <c r="I118" s="1" t="s">
        <v>20</v>
      </c>
      <c r="J118" s="1" t="str">
        <f t="shared" si="12"/>
        <v>Закрито</v>
      </c>
      <c r="K118" s="5">
        <v>45607</v>
      </c>
      <c r="L118" s="1" t="s">
        <v>20</v>
      </c>
      <c r="M118" s="1" t="s">
        <v>22</v>
      </c>
      <c r="N118" s="5">
        <v>45607</v>
      </c>
    </row>
    <row r="119" spans="1:14" x14ac:dyDescent="0.3">
      <c r="A119" s="1" t="str">
        <f>"4_897-11/2024/Б"</f>
        <v>4_897-11/2024/Б</v>
      </c>
      <c r="B119" s="6">
        <v>45597</v>
      </c>
      <c r="C119" s="1" t="str">
        <f>"01828"</f>
        <v>01828</v>
      </c>
      <c r="D119" s="2" t="str">
        <f>"Видача довідки про відсутність відомостей про реєстрацію місця проживання особи"</f>
        <v>Видача довідки про відсутність відомостей про реєстрацію місця проживання особи</v>
      </c>
      <c r="E119" s="1" t="s">
        <v>20</v>
      </c>
      <c r="F11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9" s="1" t="str">
        <f t="shared" si="14"/>
        <v>Фізична особа</v>
      </c>
      <c r="H119" s="1" t="s">
        <v>20</v>
      </c>
      <c r="I119" s="1" t="s">
        <v>20</v>
      </c>
      <c r="J119" s="1" t="str">
        <f t="shared" si="12"/>
        <v>Закрито</v>
      </c>
      <c r="K119" s="5">
        <v>45597</v>
      </c>
      <c r="L119" s="1" t="s">
        <v>20</v>
      </c>
      <c r="M119" s="1" t="s">
        <v>22</v>
      </c>
      <c r="N119" s="5">
        <v>45597</v>
      </c>
    </row>
    <row r="120" spans="1:14" x14ac:dyDescent="0.3">
      <c r="A120" s="1" t="str">
        <f>"2_1716/2129-11/2024/М"</f>
        <v>2_1716/2129-11/2024/М</v>
      </c>
      <c r="B120" s="6">
        <v>45597</v>
      </c>
      <c r="C120" s="1" t="str">
        <f>"00047"</f>
        <v>00047</v>
      </c>
      <c r="D120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20" s="1" t="s">
        <v>20</v>
      </c>
      <c r="F12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0" s="1" t="str">
        <f t="shared" si="14"/>
        <v>Фізична особа</v>
      </c>
      <c r="H120" s="1" t="s">
        <v>20</v>
      </c>
      <c r="I120" s="1" t="s">
        <v>20</v>
      </c>
      <c r="J120" s="1" t="str">
        <f t="shared" si="12"/>
        <v>Закрито</v>
      </c>
      <c r="K120" s="5">
        <v>45597</v>
      </c>
      <c r="L120" s="1" t="s">
        <v>20</v>
      </c>
      <c r="M120" s="1" t="s">
        <v>22</v>
      </c>
      <c r="N120" s="5">
        <v>45597</v>
      </c>
    </row>
    <row r="121" spans="1:14" x14ac:dyDescent="0.3">
      <c r="A121" s="1" t="str">
        <f>"1_666-11/2024/Г"</f>
        <v>1_666-11/2024/Г</v>
      </c>
      <c r="B121" s="6">
        <v>45597</v>
      </c>
      <c r="C121" s="1" t="str">
        <f>"00038"</f>
        <v>00038</v>
      </c>
      <c r="D12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1" s="1" t="s">
        <v>20</v>
      </c>
      <c r="F12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1" s="1" t="str">
        <f t="shared" si="14"/>
        <v>Фізична особа</v>
      </c>
      <c r="H121" s="1" t="s">
        <v>20</v>
      </c>
      <c r="I121" s="1" t="s">
        <v>20</v>
      </c>
      <c r="J121" s="1" t="str">
        <f t="shared" si="12"/>
        <v>Закрито</v>
      </c>
      <c r="K121" s="5">
        <v>45597</v>
      </c>
      <c r="L121" s="1" t="s">
        <v>20</v>
      </c>
      <c r="M121" s="1" t="s">
        <v>22</v>
      </c>
      <c r="N121" s="5">
        <v>45597</v>
      </c>
    </row>
    <row r="122" spans="1:14" x14ac:dyDescent="0.3">
      <c r="A122" s="1" t="str">
        <f>"1_666-11/2024/Г"</f>
        <v>1_666-11/2024/Г</v>
      </c>
      <c r="B122" s="6">
        <v>45597</v>
      </c>
      <c r="C122" s="1" t="str">
        <f>"00038"</f>
        <v>00038</v>
      </c>
      <c r="D12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2" s="1" t="s">
        <v>20</v>
      </c>
      <c r="F12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2" s="1" t="str">
        <f t="shared" si="14"/>
        <v>Фізична особа</v>
      </c>
      <c r="H122" s="1" t="s">
        <v>20</v>
      </c>
      <c r="I122" s="1" t="s">
        <v>20</v>
      </c>
      <c r="J122" s="1" t="str">
        <f t="shared" si="12"/>
        <v>Закрито</v>
      </c>
      <c r="K122" s="5">
        <v>45597</v>
      </c>
      <c r="L122" s="1" t="s">
        <v>20</v>
      </c>
      <c r="M122" s="1" t="s">
        <v>22</v>
      </c>
      <c r="N122" s="5">
        <v>45597</v>
      </c>
    </row>
    <row r="123" spans="1:14" x14ac:dyDescent="0.3">
      <c r="A123" s="1" t="str">
        <f>"2_1717/2129-11/2024/М"</f>
        <v>2_1717/2129-11/2024/М</v>
      </c>
      <c r="B123" s="6">
        <v>45597</v>
      </c>
      <c r="C123" s="1" t="str">
        <f>"00047"</f>
        <v>00047</v>
      </c>
      <c r="D123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23" s="1" t="s">
        <v>20</v>
      </c>
      <c r="F1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3" s="1" t="str">
        <f t="shared" si="14"/>
        <v>Фізична особа</v>
      </c>
      <c r="H123" s="1" t="s">
        <v>20</v>
      </c>
      <c r="I123" s="1" t="s">
        <v>20</v>
      </c>
      <c r="J123" s="1" t="str">
        <f t="shared" si="12"/>
        <v>Закрито</v>
      </c>
      <c r="K123" s="5">
        <v>45597</v>
      </c>
      <c r="L123" s="1" t="s">
        <v>20</v>
      </c>
      <c r="M123" s="1" t="s">
        <v>22</v>
      </c>
      <c r="N123" s="5">
        <v>45597</v>
      </c>
    </row>
    <row r="124" spans="1:14" x14ac:dyDescent="0.3">
      <c r="A124" s="1" t="str">
        <f>"4_898-11/2024/С"</f>
        <v>4_898-11/2024/С</v>
      </c>
      <c r="B124" s="6">
        <v>45597</v>
      </c>
      <c r="C124" s="1" t="str">
        <f>"00960"</f>
        <v>00960</v>
      </c>
      <c r="D124" s="2" t="str">
        <f>"Призначення державної допомоги на дітей, які виховуються у багатодітних сім’ях"</f>
        <v>Призначення державної допомоги на дітей, які виховуються у багатодітних сім’ях</v>
      </c>
      <c r="E124" s="1" t="str">
        <f>"03193413"</f>
        <v>03193413</v>
      </c>
      <c r="F12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4" s="1" t="str">
        <f t="shared" si="14"/>
        <v>Фізична особа</v>
      </c>
      <c r="H124" s="1" t="s">
        <v>20</v>
      </c>
      <c r="I124" s="1" t="s">
        <v>20</v>
      </c>
      <c r="J124" s="1" t="str">
        <f>"Заявника сповіщено про результат"</f>
        <v>Заявника сповіщено про результат</v>
      </c>
      <c r="K124" s="5">
        <v>45607</v>
      </c>
      <c r="L124" s="1" t="s">
        <v>20</v>
      </c>
      <c r="M124" s="1" t="s">
        <v>22</v>
      </c>
      <c r="N124" s="5">
        <v>45607</v>
      </c>
    </row>
    <row r="125" spans="1:14" x14ac:dyDescent="0.3">
      <c r="A125" s="1" t="str">
        <f>"1_667-11/2024/Г"</f>
        <v>1_667-11/2024/Г</v>
      </c>
      <c r="B125" s="6">
        <v>45597</v>
      </c>
      <c r="C125" s="1" t="str">
        <f>"00064"</f>
        <v>00064</v>
      </c>
      <c r="D125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25" s="1" t="s">
        <v>20</v>
      </c>
      <c r="F125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25" s="1" t="str">
        <f t="shared" si="14"/>
        <v>Фізична особа</v>
      </c>
      <c r="H125" s="1" t="s">
        <v>20</v>
      </c>
      <c r="I125" s="1" t="s">
        <v>20</v>
      </c>
      <c r="J125" s="1" t="str">
        <f>"Закрито"</f>
        <v>Закрито</v>
      </c>
      <c r="K125" s="5">
        <v>45614</v>
      </c>
      <c r="L125" s="1" t="s">
        <v>20</v>
      </c>
      <c r="M125" s="1" t="s">
        <v>22</v>
      </c>
      <c r="N125" s="5">
        <v>45614</v>
      </c>
    </row>
    <row r="126" spans="1:14" x14ac:dyDescent="0.3">
      <c r="A126" s="1" t="str">
        <f>"2_1718/2129-11/2024/Б"</f>
        <v>2_1718/2129-11/2024/Б</v>
      </c>
      <c r="B126" s="6">
        <v>45597</v>
      </c>
      <c r="C126" s="1" t="str">
        <f>"00047"</f>
        <v>00047</v>
      </c>
      <c r="D126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26" s="1" t="s">
        <v>20</v>
      </c>
      <c r="F12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6" s="1" t="str">
        <f t="shared" si="14"/>
        <v>Фізична особа</v>
      </c>
      <c r="H126" s="1" t="s">
        <v>20</v>
      </c>
      <c r="I126" s="1" t="s">
        <v>20</v>
      </c>
      <c r="J126" s="1" t="str">
        <f>"Закрито"</f>
        <v>Закрито</v>
      </c>
      <c r="K126" s="5">
        <v>45597</v>
      </c>
      <c r="L126" s="1" t="s">
        <v>20</v>
      </c>
      <c r="M126" s="1" t="s">
        <v>22</v>
      </c>
      <c r="N126" s="5">
        <v>45597</v>
      </c>
    </row>
    <row r="127" spans="1:14" x14ac:dyDescent="0.3">
      <c r="A127" s="1" t="str">
        <f>"4_899-11/2024/К"</f>
        <v>4_899-11/2024/К</v>
      </c>
      <c r="B127" s="6">
        <v>45597</v>
      </c>
      <c r="C127" s="1" t="str">
        <f>"01974"</f>
        <v>01974</v>
      </c>
      <c r="D127" s="2" t="str">
        <f>"Призначення пільги на оплату житла, комунальних послуг"</f>
        <v>Призначення пільги на оплату житла, комунальних послуг</v>
      </c>
      <c r="E127" s="1" t="str">
        <f>"03193413"</f>
        <v>03193413</v>
      </c>
      <c r="F12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7" s="1" t="str">
        <f t="shared" si="14"/>
        <v>Фізична особа</v>
      </c>
      <c r="H127" s="1" t="s">
        <v>20</v>
      </c>
      <c r="I127" s="1" t="s">
        <v>20</v>
      </c>
      <c r="J127" s="1" t="str">
        <f>"Заявника сповіщено про результат"</f>
        <v>Заявника сповіщено про результат</v>
      </c>
      <c r="K127" s="5">
        <v>45627</v>
      </c>
      <c r="L127" s="1" t="s">
        <v>20</v>
      </c>
      <c r="M127" s="1" t="s">
        <v>22</v>
      </c>
      <c r="N127" s="5">
        <v>45638</v>
      </c>
    </row>
    <row r="128" spans="1:14" x14ac:dyDescent="0.3">
      <c r="A128" s="1" t="str">
        <f>"1_668-11/2024/Г"</f>
        <v>1_668-11/2024/Г</v>
      </c>
      <c r="B128" s="6">
        <v>45597</v>
      </c>
      <c r="C128" s="1" t="str">
        <f>"00155"</f>
        <v>00155</v>
      </c>
      <c r="D128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28" s="1" t="str">
        <f>"03193413"</f>
        <v>03193413</v>
      </c>
      <c r="F12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8" s="1" t="str">
        <f t="shared" si="14"/>
        <v>Фізична особа</v>
      </c>
      <c r="H128" s="1" t="s">
        <v>20</v>
      </c>
      <c r="I128" s="1" t="s">
        <v>20</v>
      </c>
      <c r="J128" s="1" t="str">
        <f t="shared" ref="J128:J155" si="16">"Закрито"</f>
        <v>Закрито</v>
      </c>
      <c r="K128" s="5">
        <v>45653</v>
      </c>
      <c r="L128" s="1" t="s">
        <v>20</v>
      </c>
      <c r="M128" s="1" t="s">
        <v>22</v>
      </c>
      <c r="N128" s="5">
        <v>45653</v>
      </c>
    </row>
    <row r="129" spans="1:14" x14ac:dyDescent="0.3">
      <c r="A129" s="1" t="str">
        <f>"2_1719/2129-11/2024/Ф"</f>
        <v>2_1719/2129-11/2024/Ф</v>
      </c>
      <c r="B129" s="6">
        <v>45597</v>
      </c>
      <c r="C129" s="1" t="str">
        <f>"00042"</f>
        <v>00042</v>
      </c>
      <c r="D129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29" s="1" t="s">
        <v>20</v>
      </c>
      <c r="F129" s="1" t="str">
        <f t="shared" ref="F129:F134" si="17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9" s="1" t="str">
        <f>"Юридична особа"</f>
        <v>Юридична особа</v>
      </c>
      <c r="H129" s="1" t="str">
        <f>"Фермерське підприємство ""Агро-Стандарт"""</f>
        <v>Фермерське підприємство "Агро-Стандарт"</v>
      </c>
      <c r="I129" s="1" t="str">
        <f>"33958918"</f>
        <v>33958918</v>
      </c>
      <c r="J129" s="1" t="str">
        <f t="shared" si="16"/>
        <v>Закрито</v>
      </c>
      <c r="K129" s="5">
        <v>45597</v>
      </c>
      <c r="L129" s="1" t="s">
        <v>20</v>
      </c>
      <c r="M129" s="1" t="s">
        <v>22</v>
      </c>
      <c r="N129" s="5">
        <v>45597</v>
      </c>
    </row>
    <row r="130" spans="1:14" x14ac:dyDescent="0.3">
      <c r="A130" s="1" t="str">
        <f>"1_669-11/2024/Л"</f>
        <v>1_669-11/2024/Л</v>
      </c>
      <c r="B130" s="6">
        <v>45597</v>
      </c>
      <c r="C130" s="1" t="str">
        <f>"00038"</f>
        <v>00038</v>
      </c>
      <c r="D13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0" s="1" t="s">
        <v>20</v>
      </c>
      <c r="F130" s="1" t="str">
        <f t="shared" si="17"/>
        <v>Центр надання адміністративних послуг Рогатинської міської ради</v>
      </c>
      <c r="G130" s="1" t="str">
        <f>"Фізична особа"</f>
        <v>Фізична особа</v>
      </c>
      <c r="H130" s="1" t="s">
        <v>20</v>
      </c>
      <c r="I130" s="1" t="s">
        <v>20</v>
      </c>
      <c r="J130" s="1" t="str">
        <f t="shared" si="16"/>
        <v>Закрито</v>
      </c>
      <c r="K130" s="5">
        <v>45597</v>
      </c>
      <c r="L130" s="1" t="s">
        <v>20</v>
      </c>
      <c r="M130" s="1" t="s">
        <v>22</v>
      </c>
      <c r="N130" s="5">
        <v>45597</v>
      </c>
    </row>
    <row r="131" spans="1:14" x14ac:dyDescent="0.3">
      <c r="A131" s="1" t="str">
        <f>"2_1720/2129-11/2024/с"</f>
        <v>2_1720/2129-11/2024/с</v>
      </c>
      <c r="B131" s="6">
        <v>45597</v>
      </c>
      <c r="C131" s="1" t="str">
        <f>"00042"</f>
        <v>00042</v>
      </c>
      <c r="D131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1" s="1" t="s">
        <v>20</v>
      </c>
      <c r="F131" s="1" t="str">
        <f t="shared" si="17"/>
        <v>Центр надання адміністративних послуг Рогатинської міської ради</v>
      </c>
      <c r="G131" s="1" t="str">
        <f>"Юридична особа"</f>
        <v>Юридична особа</v>
      </c>
      <c r="H131" s="1" t="str">
        <f>"сільськогосподарське товариство з обмеженою відповідальністю ""У'їзд"""</f>
        <v>сільськогосподарське товариство з обмеженою відповідальністю "У'їзд"</v>
      </c>
      <c r="I131" s="1" t="str">
        <f>"03752445"</f>
        <v>03752445</v>
      </c>
      <c r="J131" s="1" t="str">
        <f t="shared" si="16"/>
        <v>Закрито</v>
      </c>
      <c r="K131" s="5">
        <v>45597</v>
      </c>
      <c r="L131" s="1" t="s">
        <v>20</v>
      </c>
      <c r="M131" s="1" t="s">
        <v>22</v>
      </c>
      <c r="N131" s="5">
        <v>45597</v>
      </c>
    </row>
    <row r="132" spans="1:14" x14ac:dyDescent="0.3">
      <c r="A132" s="1" t="str">
        <f>"2_1721/2129-11/2024/ф"</f>
        <v>2_1721/2129-11/2024/ф</v>
      </c>
      <c r="B132" s="6">
        <v>45597</v>
      </c>
      <c r="C132" s="1" t="str">
        <f>"00042"</f>
        <v>00042</v>
      </c>
      <c r="D132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2" s="1" t="s">
        <v>20</v>
      </c>
      <c r="F132" s="1" t="str">
        <f t="shared" si="17"/>
        <v>Центр надання адміністративних послуг Рогатинської міської ради</v>
      </c>
      <c r="G132" s="1" t="str">
        <f>"Юридична особа"</f>
        <v>Юридична особа</v>
      </c>
      <c r="H132" s="1" t="str">
        <f>"фермерське господарство ""Агро-Стандарт"""</f>
        <v>фермерське господарство "Агро-Стандарт"</v>
      </c>
      <c r="I132" s="1" t="str">
        <f>"33958918"</f>
        <v>33958918</v>
      </c>
      <c r="J132" s="1" t="str">
        <f t="shared" si="16"/>
        <v>Закрито</v>
      </c>
      <c r="K132" s="5">
        <v>45597</v>
      </c>
      <c r="L132" s="1" t="s">
        <v>20</v>
      </c>
      <c r="M132" s="1" t="s">
        <v>22</v>
      </c>
      <c r="N132" s="5">
        <v>45597</v>
      </c>
    </row>
    <row r="133" spans="1:14" x14ac:dyDescent="0.3">
      <c r="A133" s="1" t="str">
        <f>"2_1722/2129-11/2024/ф"</f>
        <v>2_1722/2129-11/2024/ф</v>
      </c>
      <c r="B133" s="6">
        <v>45597</v>
      </c>
      <c r="C133" s="1" t="str">
        <f>"00042"</f>
        <v>00042</v>
      </c>
      <c r="D133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33" s="1" t="s">
        <v>20</v>
      </c>
      <c r="F133" s="1" t="str">
        <f t="shared" si="17"/>
        <v>Центр надання адміністративних послуг Рогатинської міської ради</v>
      </c>
      <c r="G133" s="1" t="str">
        <f>"Юридична особа"</f>
        <v>Юридична особа</v>
      </c>
      <c r="H133" s="1" t="str">
        <f>"фермерське господарство ""Агро-Стандарт"""</f>
        <v>фермерське господарство "Агро-Стандарт"</v>
      </c>
      <c r="I133" s="1" t="str">
        <f>"33958918"</f>
        <v>33958918</v>
      </c>
      <c r="J133" s="1" t="str">
        <f t="shared" si="16"/>
        <v>Закрито</v>
      </c>
      <c r="K133" s="5">
        <v>45597</v>
      </c>
      <c r="L133" s="1" t="s">
        <v>20</v>
      </c>
      <c r="M133" s="1" t="s">
        <v>22</v>
      </c>
      <c r="N133" s="5">
        <v>45597</v>
      </c>
    </row>
    <row r="134" spans="1:14" x14ac:dyDescent="0.3">
      <c r="A134" s="1" t="str">
        <f>"2_1723/2129-11/2024/В"</f>
        <v>2_1723/2129-11/2024/В</v>
      </c>
      <c r="B134" s="6">
        <v>45597</v>
      </c>
      <c r="C134" s="1" t="str">
        <f>"00041"</f>
        <v>00041</v>
      </c>
      <c r="D13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34" s="1" t="s">
        <v>20</v>
      </c>
      <c r="F134" s="1" t="str">
        <f t="shared" si="17"/>
        <v>Центр надання адміністративних послуг Рогатинської міської ради</v>
      </c>
      <c r="G134" s="1" t="str">
        <f>"Фізична особа"</f>
        <v>Фізична особа</v>
      </c>
      <c r="H134" s="1" t="s">
        <v>20</v>
      </c>
      <c r="I134" s="1" t="s">
        <v>20</v>
      </c>
      <c r="J134" s="1" t="str">
        <f t="shared" si="16"/>
        <v>Закрито</v>
      </c>
      <c r="K134" s="5">
        <v>45597</v>
      </c>
      <c r="L134" s="1" t="s">
        <v>20</v>
      </c>
      <c r="M134" s="1" t="s">
        <v>22</v>
      </c>
      <c r="N134" s="5">
        <v>45597</v>
      </c>
    </row>
    <row r="135" spans="1:14" x14ac:dyDescent="0.3">
      <c r="A135" s="1" t="str">
        <f>"6_306/04054323-11/2024/Р"</f>
        <v>6_306/04054323-11/2024/Р</v>
      </c>
      <c r="B135" s="6">
        <v>45597</v>
      </c>
      <c r="C135" s="1" t="str">
        <f>""</f>
        <v/>
      </c>
      <c r="D135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35" s="1" t="str">
        <f>"04054323"</f>
        <v>04054323</v>
      </c>
      <c r="F135" s="1" t="str">
        <f>"Рогатинська міська рада"</f>
        <v>Рогатинська міська рада</v>
      </c>
      <c r="G135" s="1" t="str">
        <f>"Юридична особа"</f>
        <v>Юридична особа</v>
      </c>
      <c r="H135" s="1" t="str">
        <f>"Релігійна громада Воскресіння Ісуса Христа с.Бабухів"</f>
        <v>Релігійна громада Воскресіння Ісуса Христа с.Бабухів</v>
      </c>
      <c r="I135" s="1" t="str">
        <f>"26430324"</f>
        <v>26430324</v>
      </c>
      <c r="J135" s="1" t="str">
        <f t="shared" si="16"/>
        <v>Закрито</v>
      </c>
      <c r="K135" s="5">
        <v>45600</v>
      </c>
      <c r="L135" s="1" t="s">
        <v>20</v>
      </c>
      <c r="M135" s="1" t="s">
        <v>22</v>
      </c>
      <c r="N135" s="5">
        <v>45600</v>
      </c>
    </row>
    <row r="136" spans="1:14" x14ac:dyDescent="0.3">
      <c r="A136" s="1" t="str">
        <f>"2_1724/2129-11/2024/Г"</f>
        <v>2_1724/2129-11/2024/Г</v>
      </c>
      <c r="B136" s="6">
        <v>45597</v>
      </c>
      <c r="C136" s="1" t="str">
        <f>"00041"</f>
        <v>00041</v>
      </c>
      <c r="D13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36" s="1" t="s">
        <v>20</v>
      </c>
      <c r="F136" s="1" t="str">
        <f t="shared" ref="F136:F155" si="18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6" s="1" t="str">
        <f t="shared" ref="G136:G141" si="19">"Фізична особа"</f>
        <v>Фізична особа</v>
      </c>
      <c r="H136" s="1" t="s">
        <v>20</v>
      </c>
      <c r="I136" s="1" t="s">
        <v>20</v>
      </c>
      <c r="J136" s="1" t="str">
        <f t="shared" si="16"/>
        <v>Закрито</v>
      </c>
      <c r="K136" s="5">
        <v>45597</v>
      </c>
      <c r="L136" s="1" t="s">
        <v>20</v>
      </c>
      <c r="M136" s="1" t="s">
        <v>22</v>
      </c>
      <c r="N136" s="5">
        <v>45597</v>
      </c>
    </row>
    <row r="137" spans="1:14" x14ac:dyDescent="0.3">
      <c r="A137" s="1" t="str">
        <f>"2_1725/2129-11/2024/П"</f>
        <v>2_1725/2129-11/2024/П</v>
      </c>
      <c r="B137" s="6">
        <v>45597</v>
      </c>
      <c r="C137" s="1" t="str">
        <f>"00046"</f>
        <v>00046</v>
      </c>
      <c r="D137" s="2" t="str">
        <f>"Внесення змін до записів Державного реєстру речових прав на нерухоме майно"</f>
        <v>Внесення змін до записів Державного реєстру речових прав на нерухоме майно</v>
      </c>
      <c r="E137" s="1" t="s">
        <v>20</v>
      </c>
      <c r="F137" s="1" t="str">
        <f t="shared" si="18"/>
        <v>Центр надання адміністративних послуг Рогатинської міської ради</v>
      </c>
      <c r="G137" s="1" t="str">
        <f t="shared" si="19"/>
        <v>Фізична особа</v>
      </c>
      <c r="H137" s="1" t="s">
        <v>20</v>
      </c>
      <c r="I137" s="1" t="s">
        <v>20</v>
      </c>
      <c r="J137" s="1" t="str">
        <f t="shared" si="16"/>
        <v>Закрито</v>
      </c>
      <c r="K137" s="5">
        <v>45597</v>
      </c>
      <c r="L137" s="1" t="s">
        <v>20</v>
      </c>
      <c r="M137" s="1" t="s">
        <v>22</v>
      </c>
      <c r="N137" s="5">
        <v>45597</v>
      </c>
    </row>
    <row r="138" spans="1:14" x14ac:dyDescent="0.3">
      <c r="A138" s="1" t="str">
        <f>"1_5611/2129-11/2024/В"</f>
        <v>1_5611/2129-11/2024/В</v>
      </c>
      <c r="B138" s="6">
        <v>45597</v>
      </c>
      <c r="C138" s="1" t="str">
        <f>"00038"</f>
        <v>00038</v>
      </c>
      <c r="D13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8" s="1" t="s">
        <v>20</v>
      </c>
      <c r="F138" s="1" t="str">
        <f t="shared" si="18"/>
        <v>Центр надання адміністративних послуг Рогатинської міської ради</v>
      </c>
      <c r="G138" s="1" t="str">
        <f t="shared" si="19"/>
        <v>Фізична особа</v>
      </c>
      <c r="H138" s="1" t="s">
        <v>20</v>
      </c>
      <c r="I138" s="1" t="s">
        <v>20</v>
      </c>
      <c r="J138" s="1" t="str">
        <f t="shared" si="16"/>
        <v>Закрито</v>
      </c>
      <c r="K138" s="8">
        <v>45597</v>
      </c>
      <c r="L138" s="1" t="s">
        <v>20</v>
      </c>
      <c r="M138" s="1" t="s">
        <v>22</v>
      </c>
      <c r="N138" s="5">
        <v>45597</v>
      </c>
    </row>
    <row r="139" spans="1:14" x14ac:dyDescent="0.3">
      <c r="A139" s="1" t="str">
        <f>"2_1726/2129-11/2024/Г"</f>
        <v>2_1726/2129-11/2024/Г</v>
      </c>
      <c r="B139" s="6">
        <v>45597</v>
      </c>
      <c r="C139" s="1" t="str">
        <f>"00048"</f>
        <v>00048</v>
      </c>
      <c r="D139" s="2" t="str">
        <f>"Державна реєстрація обтяжень речових прав на нерухоме майно"</f>
        <v>Державна реєстрація обтяжень речових прав на нерухоме майно</v>
      </c>
      <c r="E139" s="1" t="s">
        <v>20</v>
      </c>
      <c r="F139" s="1" t="str">
        <f t="shared" si="18"/>
        <v>Центр надання адміністративних послуг Рогатинської міської ради</v>
      </c>
      <c r="G139" s="1" t="str">
        <f t="shared" si="19"/>
        <v>Фізична особа</v>
      </c>
      <c r="H139" s="1" t="s">
        <v>20</v>
      </c>
      <c r="I139" s="1" t="s">
        <v>20</v>
      </c>
      <c r="J139" s="1" t="str">
        <f t="shared" si="16"/>
        <v>Закрито</v>
      </c>
      <c r="K139" s="5">
        <v>45597</v>
      </c>
      <c r="L139" s="1" t="s">
        <v>20</v>
      </c>
      <c r="M139" s="1" t="s">
        <v>22</v>
      </c>
      <c r="N139" s="5">
        <v>45597</v>
      </c>
    </row>
    <row r="140" spans="1:14" x14ac:dyDescent="0.3">
      <c r="A140" s="1" t="str">
        <f>"1_5612/2129-11/2024/В"</f>
        <v>1_5612/2129-11/2024/В</v>
      </c>
      <c r="B140" s="6">
        <v>45597</v>
      </c>
      <c r="C140" s="1" t="str">
        <f>"00038"</f>
        <v>00038</v>
      </c>
      <c r="D14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0" s="1" t="s">
        <v>20</v>
      </c>
      <c r="F140" s="1" t="str">
        <f t="shared" si="18"/>
        <v>Центр надання адміністративних послуг Рогатинської міської ради</v>
      </c>
      <c r="G140" s="1" t="str">
        <f t="shared" si="19"/>
        <v>Фізична особа</v>
      </c>
      <c r="H140" s="1" t="s">
        <v>20</v>
      </c>
      <c r="I140" s="1" t="s">
        <v>20</v>
      </c>
      <c r="J140" s="1" t="str">
        <f t="shared" si="16"/>
        <v>Закрито</v>
      </c>
      <c r="K140" s="8">
        <v>45597</v>
      </c>
      <c r="L140" s="1" t="s">
        <v>20</v>
      </c>
      <c r="M140" s="1" t="s">
        <v>22</v>
      </c>
      <c r="N140" s="5">
        <v>45597</v>
      </c>
    </row>
    <row r="141" spans="1:14" x14ac:dyDescent="0.3">
      <c r="A141" s="1" t="str">
        <f>"2_1727/2129-11/2024/Л"</f>
        <v>2_1727/2129-11/2024/Л</v>
      </c>
      <c r="B141" s="6">
        <v>45597</v>
      </c>
      <c r="C141" s="1" t="str">
        <f>"00042"</f>
        <v>00042</v>
      </c>
      <c r="D141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41" s="1" t="s">
        <v>20</v>
      </c>
      <c r="F141" s="1" t="str">
        <f t="shared" si="18"/>
        <v>Центр надання адміністративних послуг Рогатинської міської ради</v>
      </c>
      <c r="G141" s="1" t="str">
        <f t="shared" si="19"/>
        <v>Фізична особа</v>
      </c>
      <c r="H141" s="1" t="s">
        <v>20</v>
      </c>
      <c r="I141" s="1" t="s">
        <v>20</v>
      </c>
      <c r="J141" s="1" t="str">
        <f t="shared" si="16"/>
        <v>Закрито</v>
      </c>
      <c r="K141" s="5">
        <v>45597</v>
      </c>
      <c r="L141" s="1" t="s">
        <v>20</v>
      </c>
      <c r="M141" s="1" t="s">
        <v>22</v>
      </c>
      <c r="N141" s="5">
        <v>45597</v>
      </c>
    </row>
    <row r="142" spans="1:14" x14ac:dyDescent="0.3">
      <c r="A142" s="1" t="str">
        <f>"2_1728/2129-11/2024/Т"</f>
        <v>2_1728/2129-11/2024/Т</v>
      </c>
      <c r="B142" s="6">
        <v>45597</v>
      </c>
      <c r="C142" s="1" t="str">
        <f>"00042"</f>
        <v>00042</v>
      </c>
      <c r="D142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42" s="1" t="s">
        <v>20</v>
      </c>
      <c r="F142" s="1" t="str">
        <f t="shared" si="18"/>
        <v>Центр надання адміністративних послуг Рогатинської міської ради</v>
      </c>
      <c r="G142" s="1" t="str">
        <f>"Юридична особа"</f>
        <v>Юридична особа</v>
      </c>
      <c r="H142" s="1" t="str">
        <f>"ТОВ ""Колос опілля"""</f>
        <v>ТОВ "Колос опілля"</v>
      </c>
      <c r="I142" s="1" t="str">
        <f>"39309535"</f>
        <v>39309535</v>
      </c>
      <c r="J142" s="1" t="str">
        <f t="shared" si="16"/>
        <v>Закрито</v>
      </c>
      <c r="K142" s="5">
        <v>45597</v>
      </c>
      <c r="L142" s="1" t="str">
        <f>"150.0"</f>
        <v>150.0</v>
      </c>
      <c r="M142" s="1" t="s">
        <v>22</v>
      </c>
      <c r="N142" s="5">
        <v>45597</v>
      </c>
    </row>
    <row r="143" spans="1:14" x14ac:dyDescent="0.3">
      <c r="A143" s="1" t="str">
        <f>"1_5613/2129-11/2024/В"</f>
        <v>1_5613/2129-11/2024/В</v>
      </c>
      <c r="B143" s="6">
        <v>45597</v>
      </c>
      <c r="C143" s="1" t="str">
        <f>"00038"</f>
        <v>00038</v>
      </c>
      <c r="D14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3" s="1" t="s">
        <v>20</v>
      </c>
      <c r="F143" s="1" t="str">
        <f t="shared" si="18"/>
        <v>Центр надання адміністративних послуг Рогатинської міської ради</v>
      </c>
      <c r="G143" s="1" t="str">
        <f>"Фізична особа"</f>
        <v>Фізична особа</v>
      </c>
      <c r="H143" s="1" t="s">
        <v>20</v>
      </c>
      <c r="I143" s="1" t="s">
        <v>20</v>
      </c>
      <c r="J143" s="1" t="str">
        <f t="shared" si="16"/>
        <v>Закрито</v>
      </c>
      <c r="K143" s="8">
        <v>45597</v>
      </c>
      <c r="L143" s="1" t="s">
        <v>20</v>
      </c>
      <c r="M143" s="1" t="s">
        <v>22</v>
      </c>
      <c r="N143" s="5">
        <v>45597</v>
      </c>
    </row>
    <row r="144" spans="1:14" x14ac:dyDescent="0.3">
      <c r="A144" s="1" t="str">
        <f>"2_1729/2129-11/2024/Т"</f>
        <v>2_1729/2129-11/2024/Т</v>
      </c>
      <c r="B144" s="6">
        <v>45597</v>
      </c>
      <c r="C144" s="1" t="str">
        <f>"00042"</f>
        <v>00042</v>
      </c>
      <c r="D144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44" s="1" t="s">
        <v>20</v>
      </c>
      <c r="F144" s="1" t="str">
        <f t="shared" si="18"/>
        <v>Центр надання адміністративних послуг Рогатинської міської ради</v>
      </c>
      <c r="G144" s="1" t="str">
        <f>"Юридична особа"</f>
        <v>Юридична особа</v>
      </c>
      <c r="H144" s="1" t="str">
        <f>"ТОВ ""Колос опілля"""</f>
        <v>ТОВ "Колос опілля"</v>
      </c>
      <c r="I144" s="1" t="str">
        <f>"39309535"</f>
        <v>39309535</v>
      </c>
      <c r="J144" s="1" t="str">
        <f t="shared" si="16"/>
        <v>Закрито</v>
      </c>
      <c r="K144" s="5">
        <v>45597</v>
      </c>
      <c r="L144" s="1" t="str">
        <f>"150.0"</f>
        <v>150.0</v>
      </c>
      <c r="M144" s="1" t="s">
        <v>22</v>
      </c>
      <c r="N144" s="5">
        <v>45597</v>
      </c>
    </row>
    <row r="145" spans="1:14" x14ac:dyDescent="0.3">
      <c r="A145" s="1" t="str">
        <f>"1_5614/2129-11/2024/Г"</f>
        <v>1_5614/2129-11/2024/Г</v>
      </c>
      <c r="B145" s="6">
        <v>45597</v>
      </c>
      <c r="C145" s="1" t="str">
        <f>"00038"</f>
        <v>00038</v>
      </c>
      <c r="D14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5" s="1" t="s">
        <v>20</v>
      </c>
      <c r="F145" s="1" t="str">
        <f t="shared" si="18"/>
        <v>Центр надання адміністративних послуг Рогатинської міської ради</v>
      </c>
      <c r="G145" s="1" t="str">
        <f>"Фізична особа"</f>
        <v>Фізична особа</v>
      </c>
      <c r="H145" s="1" t="s">
        <v>20</v>
      </c>
      <c r="I145" s="1" t="s">
        <v>20</v>
      </c>
      <c r="J145" s="1" t="str">
        <f t="shared" si="16"/>
        <v>Закрито</v>
      </c>
      <c r="K145" s="8">
        <v>45597</v>
      </c>
      <c r="L145" s="1" t="s">
        <v>20</v>
      </c>
      <c r="M145" s="1" t="s">
        <v>22</v>
      </c>
      <c r="N145" s="5">
        <v>45597</v>
      </c>
    </row>
    <row r="146" spans="1:14" x14ac:dyDescent="0.3">
      <c r="A146" s="1" t="str">
        <f>"2_1730/2129-11/2024/Т"</f>
        <v>2_1730/2129-11/2024/Т</v>
      </c>
      <c r="B146" s="6">
        <v>45597</v>
      </c>
      <c r="C146" s="1" t="str">
        <f>"00042"</f>
        <v>00042</v>
      </c>
      <c r="D146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46" s="1" t="s">
        <v>20</v>
      </c>
      <c r="F146" s="1" t="str">
        <f t="shared" si="18"/>
        <v>Центр надання адміністративних послуг Рогатинської міської ради</v>
      </c>
      <c r="G146" s="1" t="str">
        <f>"Юридична особа"</f>
        <v>Юридична особа</v>
      </c>
      <c r="H146" s="1" t="str">
        <f>"ТОВ ""Колос опілля"""</f>
        <v>ТОВ "Колос опілля"</v>
      </c>
      <c r="I146" s="1" t="str">
        <f>"39309535"</f>
        <v>39309535</v>
      </c>
      <c r="J146" s="1" t="str">
        <f t="shared" si="16"/>
        <v>Закрито</v>
      </c>
      <c r="K146" s="5">
        <v>45597</v>
      </c>
      <c r="L146" s="1" t="str">
        <f>"150.0"</f>
        <v>150.0</v>
      </c>
      <c r="M146" s="1" t="s">
        <v>22</v>
      </c>
      <c r="N146" s="5">
        <v>45597</v>
      </c>
    </row>
    <row r="147" spans="1:14" x14ac:dyDescent="0.3">
      <c r="A147" s="1" t="str">
        <f>"2_1731/2129-11/2024/В"</f>
        <v>2_1731/2129-11/2024/В</v>
      </c>
      <c r="B147" s="6">
        <v>45597</v>
      </c>
      <c r="C147" s="1" t="str">
        <f>"00047"</f>
        <v>00047</v>
      </c>
      <c r="D147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47" s="1" t="s">
        <v>20</v>
      </c>
      <c r="F147" s="1" t="str">
        <f t="shared" si="18"/>
        <v>Центр надання адміністративних послуг Рогатинської міської ради</v>
      </c>
      <c r="G147" s="1" t="str">
        <f>"Фізична особа"</f>
        <v>Фізична особа</v>
      </c>
      <c r="H147" s="1" t="s">
        <v>20</v>
      </c>
      <c r="I147" s="1" t="s">
        <v>20</v>
      </c>
      <c r="J147" s="1" t="str">
        <f t="shared" si="16"/>
        <v>Закрито</v>
      </c>
      <c r="K147" s="5">
        <v>45597</v>
      </c>
      <c r="L147" s="1" t="str">
        <f>"80.0"</f>
        <v>80.0</v>
      </c>
      <c r="M147" s="1" t="s">
        <v>22</v>
      </c>
      <c r="N147" s="5">
        <v>45597</v>
      </c>
    </row>
    <row r="148" spans="1:14" x14ac:dyDescent="0.3">
      <c r="A148" s="1" t="str">
        <f>"2_1732/2129-11/2024/Б"</f>
        <v>2_1732/2129-11/2024/Б</v>
      </c>
      <c r="B148" s="6">
        <v>45597</v>
      </c>
      <c r="C148" s="1" t="str">
        <f>"00047"</f>
        <v>00047</v>
      </c>
      <c r="D148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48" s="1" t="s">
        <v>20</v>
      </c>
      <c r="F148" s="1" t="str">
        <f t="shared" si="18"/>
        <v>Центр надання адміністративних послуг Рогатинської міської ради</v>
      </c>
      <c r="G148" s="1" t="str">
        <f>"Фізична особа"</f>
        <v>Фізична особа</v>
      </c>
      <c r="H148" s="1" t="s">
        <v>20</v>
      </c>
      <c r="I148" s="1" t="s">
        <v>20</v>
      </c>
      <c r="J148" s="1" t="str">
        <f t="shared" si="16"/>
        <v>Закрито</v>
      </c>
      <c r="K148" s="5">
        <v>45597</v>
      </c>
      <c r="L148" s="1" t="str">
        <f>"80.0"</f>
        <v>80.0</v>
      </c>
      <c r="M148" s="1" t="s">
        <v>22</v>
      </c>
      <c r="N148" s="5">
        <v>45597</v>
      </c>
    </row>
    <row r="149" spans="1:14" x14ac:dyDescent="0.3">
      <c r="A149" s="1" t="str">
        <f>"2_1733/2129-11/2024/Л"</f>
        <v>2_1733/2129-11/2024/Л</v>
      </c>
      <c r="B149" s="6">
        <v>45597</v>
      </c>
      <c r="C149" s="1" t="str">
        <f>"00041"</f>
        <v>00041</v>
      </c>
      <c r="D14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49" s="1" t="s">
        <v>20</v>
      </c>
      <c r="F149" s="1" t="str">
        <f t="shared" si="18"/>
        <v>Центр надання адміністративних послуг Рогатинської міської ради</v>
      </c>
      <c r="G149" s="1" t="str">
        <f>"Фізична особа"</f>
        <v>Фізична особа</v>
      </c>
      <c r="H149" s="1" t="s">
        <v>20</v>
      </c>
      <c r="I149" s="1" t="s">
        <v>20</v>
      </c>
      <c r="J149" s="1" t="str">
        <f t="shared" si="16"/>
        <v>Закрито</v>
      </c>
      <c r="K149" s="5">
        <v>45597</v>
      </c>
      <c r="L149" s="1" t="str">
        <f>"300.0"</f>
        <v>300.0</v>
      </c>
      <c r="M149" s="1" t="s">
        <v>22</v>
      </c>
      <c r="N149" s="5">
        <v>45597</v>
      </c>
    </row>
    <row r="150" spans="1:14" x14ac:dyDescent="0.3">
      <c r="A150" s="1" t="str">
        <f>"31_482-11/2024/Д"</f>
        <v>31_482-11/2024/Д</v>
      </c>
      <c r="B150" s="6">
        <v>45597</v>
      </c>
      <c r="C150" s="1" t="str">
        <f>"01297"</f>
        <v>01297</v>
      </c>
      <c r="D150" s="2" t="str">
        <f>"Видача довідок-характеристик на громадян"</f>
        <v>Видача довідок-характеристик на громадян</v>
      </c>
      <c r="E150" s="1" t="s">
        <v>20</v>
      </c>
      <c r="F150" s="1" t="str">
        <f t="shared" si="18"/>
        <v>Центр надання адміністративних послуг Рогатинської міської ради</v>
      </c>
      <c r="G150" s="1" t="str">
        <f>"Юридична особа"</f>
        <v>Юридична особа</v>
      </c>
      <c r="H150" s="1" t="str">
        <f>"Державна установа ""Центр пробації"""</f>
        <v>Державна установа "Центр пробації"</v>
      </c>
      <c r="I150" s="1" t="s">
        <v>20</v>
      </c>
      <c r="J150" s="1" t="str">
        <f t="shared" si="16"/>
        <v>Закрито</v>
      </c>
      <c r="K150" s="5">
        <v>45597</v>
      </c>
      <c r="L150" s="1" t="s">
        <v>20</v>
      </c>
      <c r="M150" s="1" t="s">
        <v>22</v>
      </c>
      <c r="N150" s="5">
        <v>45597</v>
      </c>
    </row>
    <row r="151" spans="1:14" x14ac:dyDescent="0.3">
      <c r="A151" s="1" t="str">
        <f>"2_1734/2129-11/2024/Ф"</f>
        <v>2_1734/2129-11/2024/Ф</v>
      </c>
      <c r="B151" s="6">
        <v>45597</v>
      </c>
      <c r="C151" s="1" t="str">
        <f>"00047"</f>
        <v>00047</v>
      </c>
      <c r="D151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51" s="1" t="s">
        <v>20</v>
      </c>
      <c r="F151" s="1" t="str">
        <f t="shared" si="18"/>
        <v>Центр надання адміністративних послуг Рогатинської міської ради</v>
      </c>
      <c r="G151" s="1" t="str">
        <f>"Фізична особа"</f>
        <v>Фізична особа</v>
      </c>
      <c r="H151" s="1" t="s">
        <v>20</v>
      </c>
      <c r="I151" s="1" t="s">
        <v>20</v>
      </c>
      <c r="J151" s="1" t="str">
        <f t="shared" si="16"/>
        <v>Закрито</v>
      </c>
      <c r="K151" s="5">
        <v>45597</v>
      </c>
      <c r="L151" s="1" t="s">
        <v>20</v>
      </c>
      <c r="M151" s="1" t="s">
        <v>22</v>
      </c>
      <c r="N151" s="5">
        <v>45597</v>
      </c>
    </row>
    <row r="152" spans="1:14" x14ac:dyDescent="0.3">
      <c r="A152" s="1" t="str">
        <f>"31_483-11/2024/Д"</f>
        <v>31_483-11/2024/Д</v>
      </c>
      <c r="B152" s="6">
        <v>45597</v>
      </c>
      <c r="C152" s="1" t="str">
        <f>"01297"</f>
        <v>01297</v>
      </c>
      <c r="D152" s="2" t="str">
        <f>"Видача довідок-характеристик на громадян"</f>
        <v>Видача довідок-характеристик на громадян</v>
      </c>
      <c r="E152" s="1" t="s">
        <v>20</v>
      </c>
      <c r="F152" s="1" t="str">
        <f t="shared" si="18"/>
        <v>Центр надання адміністративних послуг Рогатинської міської ради</v>
      </c>
      <c r="G152" s="1" t="str">
        <f>"Юридична особа"</f>
        <v>Юридична особа</v>
      </c>
      <c r="H152" s="1" t="str">
        <f>"Державна установа ""Центр пробації"""</f>
        <v>Державна установа "Центр пробації"</v>
      </c>
      <c r="I152" s="1" t="s">
        <v>20</v>
      </c>
      <c r="J152" s="1" t="str">
        <f t="shared" si="16"/>
        <v>Закрито</v>
      </c>
      <c r="K152" s="5">
        <v>45597</v>
      </c>
      <c r="L152" s="1" t="s">
        <v>20</v>
      </c>
      <c r="M152" s="1" t="s">
        <v>22</v>
      </c>
      <c r="N152" s="5">
        <v>45597</v>
      </c>
    </row>
    <row r="153" spans="1:14" x14ac:dyDescent="0.3">
      <c r="A153" s="1" t="str">
        <f>"2_1735/2129-11/2024/Ф"</f>
        <v>2_1735/2129-11/2024/Ф</v>
      </c>
      <c r="B153" s="6">
        <v>45597</v>
      </c>
      <c r="C153" s="1" t="str">
        <f>"00042"</f>
        <v>00042</v>
      </c>
      <c r="D153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53" s="1" t="s">
        <v>20</v>
      </c>
      <c r="F153" s="1" t="str">
        <f t="shared" si="18"/>
        <v>Центр надання адміністративних послуг Рогатинської міської ради</v>
      </c>
      <c r="G153" s="1" t="str">
        <f>"Юридична особа"</f>
        <v>Юридична особа</v>
      </c>
      <c r="H153" s="1" t="str">
        <f>"ФГ ""Агро-стандарт"""</f>
        <v>ФГ "Агро-стандарт"</v>
      </c>
      <c r="I153" s="1" t="str">
        <f>"33958918"</f>
        <v>33958918</v>
      </c>
      <c r="J153" s="1" t="str">
        <f t="shared" si="16"/>
        <v>Закрито</v>
      </c>
      <c r="K153" s="5">
        <v>45597</v>
      </c>
      <c r="L153" s="1" t="str">
        <f>"150.0"</f>
        <v>150.0</v>
      </c>
      <c r="M153" s="1" t="s">
        <v>22</v>
      </c>
      <c r="N153" s="5">
        <v>45597</v>
      </c>
    </row>
    <row r="154" spans="1:14" x14ac:dyDescent="0.3">
      <c r="A154" s="1" t="str">
        <f>"31_484-11/2024/Д"</f>
        <v>31_484-11/2024/Д</v>
      </c>
      <c r="B154" s="6">
        <v>45597</v>
      </c>
      <c r="C154" s="1" t="str">
        <f>"01297"</f>
        <v>01297</v>
      </c>
      <c r="D154" s="2" t="str">
        <f>"Видача довідок-характеристик на громадян"</f>
        <v>Видача довідок-характеристик на громадян</v>
      </c>
      <c r="E154" s="1" t="s">
        <v>20</v>
      </c>
      <c r="F154" s="1" t="str">
        <f t="shared" si="18"/>
        <v>Центр надання адміністративних послуг Рогатинської міської ради</v>
      </c>
      <c r="G154" s="1" t="str">
        <f>"Юридична особа"</f>
        <v>Юридична особа</v>
      </c>
      <c r="H154" s="1" t="str">
        <f>"Державна установа ""Центр пробації"""</f>
        <v>Державна установа "Центр пробації"</v>
      </c>
      <c r="I154" s="1" t="s">
        <v>20</v>
      </c>
      <c r="J154" s="1" t="str">
        <f t="shared" si="16"/>
        <v>Закрито</v>
      </c>
      <c r="K154" s="5">
        <v>45597</v>
      </c>
      <c r="L154" s="1" t="s">
        <v>20</v>
      </c>
      <c r="M154" s="1" t="s">
        <v>22</v>
      </c>
      <c r="N154" s="5">
        <v>45597</v>
      </c>
    </row>
    <row r="155" spans="1:14" x14ac:dyDescent="0.3">
      <c r="A155" s="1" t="str">
        <f>"2_1736/2129-11/2024/Ф"</f>
        <v>2_1736/2129-11/2024/Ф</v>
      </c>
      <c r="B155" s="6">
        <v>45597</v>
      </c>
      <c r="C155" s="1" t="str">
        <f>"00042"</f>
        <v>00042</v>
      </c>
      <c r="D155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55" s="1" t="s">
        <v>20</v>
      </c>
      <c r="F155" s="1" t="str">
        <f t="shared" si="18"/>
        <v>Центр надання адміністративних послуг Рогатинської міської ради</v>
      </c>
      <c r="G155" s="1" t="str">
        <f>"Юридична особа"</f>
        <v>Юридична особа</v>
      </c>
      <c r="H155" s="1" t="str">
        <f>"ФГ""Агро- Стандарт"""</f>
        <v>ФГ"Агро- Стандарт"</v>
      </c>
      <c r="I155" s="1" t="str">
        <f>"33958918"</f>
        <v>33958918</v>
      </c>
      <c r="J155" s="1" t="str">
        <f t="shared" si="16"/>
        <v>Закрито</v>
      </c>
      <c r="K155" s="5">
        <v>45597</v>
      </c>
      <c r="L155" s="1" t="str">
        <f>"150.0"</f>
        <v>150.0</v>
      </c>
      <c r="M155" s="1" t="s">
        <v>22</v>
      </c>
      <c r="N155" s="5">
        <v>45597</v>
      </c>
    </row>
    <row r="156" spans="1:14" x14ac:dyDescent="0.3">
      <c r="A156" s="1" t="str">
        <f>"9_1574/04054323-11/2024/К"</f>
        <v>9_1574/04054323-11/2024/К</v>
      </c>
      <c r="B156" s="6">
        <v>45597</v>
      </c>
      <c r="C156" s="1" t="str">
        <f>"00182"</f>
        <v>00182</v>
      </c>
      <c r="D156" s="2" t="str">
        <f>"Затвердження проекту землеустрою щодо відведення земельної ділянки"</f>
        <v>Затвердження проекту землеустрою щодо відведення земельної ділянки</v>
      </c>
      <c r="E156" s="1" t="str">
        <f>"04054323"</f>
        <v>04054323</v>
      </c>
      <c r="F156" s="1" t="str">
        <f>"Рогатинська міська рада"</f>
        <v>Рогатинська міська рада</v>
      </c>
      <c r="G156" s="1" t="str">
        <f>"Фізична особа"</f>
        <v>Фізична особа</v>
      </c>
      <c r="H156" s="1" t="s">
        <v>20</v>
      </c>
      <c r="I156" s="1" t="s">
        <v>20</v>
      </c>
      <c r="J156" s="1" t="str">
        <f>"На обробці в СНАП"</f>
        <v>На обробці в СНАП</v>
      </c>
      <c r="K156" s="1" t="s">
        <v>20</v>
      </c>
      <c r="L156" s="1" t="s">
        <v>20</v>
      </c>
      <c r="M156" s="1" t="s">
        <v>22</v>
      </c>
      <c r="N156" s="1" t="s">
        <v>20</v>
      </c>
    </row>
    <row r="157" spans="1:14" x14ac:dyDescent="0.3">
      <c r="A157" s="1" t="str">
        <f>"31_485-11/2024/В"</f>
        <v>31_485-11/2024/В</v>
      </c>
      <c r="B157" s="6">
        <v>45597</v>
      </c>
      <c r="C157" s="1" t="str">
        <f>"01297"</f>
        <v>01297</v>
      </c>
      <c r="D157" s="2" t="str">
        <f>"Видача довідок-характеристик на громадян"</f>
        <v>Видача довідок-характеристик на громадян</v>
      </c>
      <c r="E157" s="1" t="s">
        <v>20</v>
      </c>
      <c r="F1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7" s="1" t="str">
        <f>"Юридична особа"</f>
        <v>Юридична особа</v>
      </c>
      <c r="H157" s="1" t="str">
        <f>"Відділення поліції №4 від (м.Рогатин)"</f>
        <v>Відділення поліції №4 від (м.Рогатин)</v>
      </c>
      <c r="I157" s="1" t="s">
        <v>20</v>
      </c>
      <c r="J157" s="1" t="str">
        <f>"Закрито"</f>
        <v>Закрито</v>
      </c>
      <c r="K157" s="5">
        <v>45597</v>
      </c>
      <c r="L157" s="1" t="s">
        <v>20</v>
      </c>
      <c r="M157" s="1" t="s">
        <v>22</v>
      </c>
      <c r="N157" s="5">
        <v>45597</v>
      </c>
    </row>
    <row r="158" spans="1:14" x14ac:dyDescent="0.3">
      <c r="A158" s="1" t="str">
        <f>"2_1737/2129-11/2024/Ф"</f>
        <v>2_1737/2129-11/2024/Ф</v>
      </c>
      <c r="B158" s="6">
        <v>45597</v>
      </c>
      <c r="C158" s="1" t="str">
        <f>"00042"</f>
        <v>00042</v>
      </c>
      <c r="D158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58" s="1" t="s">
        <v>20</v>
      </c>
      <c r="F15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8" s="1" t="str">
        <f>"Юридична особа"</f>
        <v>Юридична особа</v>
      </c>
      <c r="H158" s="1" t="str">
        <f>"ФГ""Агро-Стандарт"""</f>
        <v>ФГ"Агро-Стандарт"</v>
      </c>
      <c r="I158" s="1" t="str">
        <f>"33958918"</f>
        <v>33958918</v>
      </c>
      <c r="J158" s="1" t="str">
        <f>"Закрито"</f>
        <v>Закрито</v>
      </c>
      <c r="K158" s="5">
        <v>45597</v>
      </c>
      <c r="L158" s="1" t="str">
        <f>"150.0"</f>
        <v>150.0</v>
      </c>
      <c r="M158" s="1" t="s">
        <v>22</v>
      </c>
      <c r="N158" s="5">
        <v>45597</v>
      </c>
    </row>
    <row r="159" spans="1:14" x14ac:dyDescent="0.3">
      <c r="A159" s="1" t="str">
        <f>"2_1738/2129-11/2024/Ф"</f>
        <v>2_1738/2129-11/2024/Ф</v>
      </c>
      <c r="B159" s="6">
        <v>45597</v>
      </c>
      <c r="C159" s="1" t="str">
        <f>"00042"</f>
        <v>00042</v>
      </c>
      <c r="D159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59" s="1" t="s">
        <v>20</v>
      </c>
      <c r="F1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9" s="1" t="str">
        <f>"Юридична особа"</f>
        <v>Юридична особа</v>
      </c>
      <c r="H159" s="1" t="str">
        <f>"ФГ""Агро-Стандарт"""</f>
        <v>ФГ"Агро-Стандарт"</v>
      </c>
      <c r="I159" s="1" t="str">
        <f>"33958918"</f>
        <v>33958918</v>
      </c>
      <c r="J159" s="1" t="str">
        <f>"Закрито"</f>
        <v>Закрито</v>
      </c>
      <c r="K159" s="5">
        <v>45597</v>
      </c>
      <c r="L159" s="1" t="str">
        <f>"150.0"</f>
        <v>150.0</v>
      </c>
      <c r="M159" s="1" t="s">
        <v>22</v>
      </c>
      <c r="N159" s="5">
        <v>45597</v>
      </c>
    </row>
    <row r="160" spans="1:14" x14ac:dyDescent="0.3">
      <c r="A160" s="1" t="str">
        <f>"9_1575/04054323-11/2024/К"</f>
        <v>9_1575/04054323-11/2024/К</v>
      </c>
      <c r="B160" s="6">
        <v>45597</v>
      </c>
      <c r="C160" s="1" t="str">
        <f>"00182"</f>
        <v>00182</v>
      </c>
      <c r="D160" s="2" t="str">
        <f>"Затвердження проекту землеустрою щодо відведення земельної ділянки"</f>
        <v>Затвердження проекту землеустрою щодо відведення земельної ділянки</v>
      </c>
      <c r="E160" s="1" t="str">
        <f>"04054323"</f>
        <v>04054323</v>
      </c>
      <c r="F160" s="1" t="str">
        <f>"Рогатинська міська рада"</f>
        <v>Рогатинська міська рада</v>
      </c>
      <c r="G160" s="1" t="str">
        <f>"Фізична особа"</f>
        <v>Фізична особа</v>
      </c>
      <c r="H160" s="1" t="s">
        <v>20</v>
      </c>
      <c r="I160" s="1" t="s">
        <v>20</v>
      </c>
      <c r="J160" s="1" t="str">
        <f>"На обробці в СНАП"</f>
        <v>На обробці в СНАП</v>
      </c>
      <c r="K160" s="1" t="s">
        <v>20</v>
      </c>
      <c r="L160" s="1" t="s">
        <v>20</v>
      </c>
      <c r="M160" s="1" t="s">
        <v>22</v>
      </c>
      <c r="N160" s="1" t="s">
        <v>20</v>
      </c>
    </row>
    <row r="161" spans="1:14" x14ac:dyDescent="0.3">
      <c r="A161" s="1" t="str">
        <f>"2_1739/2129-11/2024/Ф"</f>
        <v>2_1739/2129-11/2024/Ф</v>
      </c>
      <c r="B161" s="6">
        <v>45597</v>
      </c>
      <c r="C161" s="1" t="str">
        <f>"00042"</f>
        <v>00042</v>
      </c>
      <c r="D161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61" s="1" t="s">
        <v>20</v>
      </c>
      <c r="F16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1" s="1" t="str">
        <f>"Юридична особа"</f>
        <v>Юридична особа</v>
      </c>
      <c r="H161" s="1" t="str">
        <f>"ФГ""Агро-Стандарт"""</f>
        <v>ФГ"Агро-Стандарт"</v>
      </c>
      <c r="I161" s="1" t="str">
        <f>"33958918"</f>
        <v>33958918</v>
      </c>
      <c r="J161" s="1" t="str">
        <f t="shared" ref="J161:J194" si="20">"Закрито"</f>
        <v>Закрито</v>
      </c>
      <c r="K161" s="5">
        <v>45597</v>
      </c>
      <c r="L161" s="1" t="str">
        <f>"150.0"</f>
        <v>150.0</v>
      </c>
      <c r="M161" s="1" t="s">
        <v>22</v>
      </c>
      <c r="N161" s="5">
        <v>45597</v>
      </c>
    </row>
    <row r="162" spans="1:14" x14ac:dyDescent="0.3">
      <c r="A162" s="1" t="str">
        <f>"2_1740/2129-11/2024/Ф"</f>
        <v>2_1740/2129-11/2024/Ф</v>
      </c>
      <c r="B162" s="6">
        <v>45597</v>
      </c>
      <c r="C162" s="1" t="str">
        <f>"00042"</f>
        <v>00042</v>
      </c>
      <c r="D162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62" s="1" t="s">
        <v>20</v>
      </c>
      <c r="F16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2" s="1" t="str">
        <f>"Юридична особа"</f>
        <v>Юридична особа</v>
      </c>
      <c r="H162" s="1" t="str">
        <f>"ФГ""Агро-Стандарт"""</f>
        <v>ФГ"Агро-Стандарт"</v>
      </c>
      <c r="I162" s="1" t="str">
        <f>"33958918"</f>
        <v>33958918</v>
      </c>
      <c r="J162" s="1" t="str">
        <f t="shared" si="20"/>
        <v>Закрито</v>
      </c>
      <c r="K162" s="5">
        <v>45597</v>
      </c>
      <c r="L162" s="1" t="str">
        <f>"150.0"</f>
        <v>150.0</v>
      </c>
      <c r="M162" s="1" t="s">
        <v>22</v>
      </c>
      <c r="N162" s="5">
        <v>45597</v>
      </c>
    </row>
    <row r="163" spans="1:14" x14ac:dyDescent="0.3">
      <c r="A163" s="1" t="str">
        <f>"2_1741/2129-11/2024/Ф"</f>
        <v>2_1741/2129-11/2024/Ф</v>
      </c>
      <c r="B163" s="6">
        <v>45597</v>
      </c>
      <c r="C163" s="1" t="str">
        <f>"00042"</f>
        <v>00042</v>
      </c>
      <c r="D163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63" s="1" t="s">
        <v>20</v>
      </c>
      <c r="F16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3" s="1" t="str">
        <f>"Юридична особа"</f>
        <v>Юридична особа</v>
      </c>
      <c r="H163" s="1" t="str">
        <f>"ФГ""Шиманський"""</f>
        <v>ФГ"Шиманський"</v>
      </c>
      <c r="I163" s="1" t="str">
        <f>"38074744"</f>
        <v>38074744</v>
      </c>
      <c r="J163" s="1" t="str">
        <f t="shared" si="20"/>
        <v>Закрито</v>
      </c>
      <c r="K163" s="5">
        <v>45597</v>
      </c>
      <c r="L163" s="1" t="str">
        <f>"150.0"</f>
        <v>150.0</v>
      </c>
      <c r="M163" s="1" t="s">
        <v>22</v>
      </c>
      <c r="N163" s="5">
        <v>45597</v>
      </c>
    </row>
    <row r="164" spans="1:14" x14ac:dyDescent="0.3">
      <c r="A164" s="1" t="str">
        <f>"2_1742/2129-11/2024/С"</f>
        <v>2_1742/2129-11/2024/С</v>
      </c>
      <c r="B164" s="6">
        <v>45597</v>
      </c>
      <c r="C164" s="1" t="str">
        <f>"00042"</f>
        <v>00042</v>
      </c>
      <c r="D164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64" s="1" t="s">
        <v>20</v>
      </c>
      <c r="F1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4" s="1" t="str">
        <f>"Юридична особа"</f>
        <v>Юридична особа</v>
      </c>
      <c r="H164" s="1" t="str">
        <f>"СТОВ"" Уїзд"""</f>
        <v>СТОВ" Уїзд"</v>
      </c>
      <c r="I164" s="1" t="str">
        <f>"03752445"</f>
        <v>03752445</v>
      </c>
      <c r="J164" s="1" t="str">
        <f t="shared" si="20"/>
        <v>Закрито</v>
      </c>
      <c r="K164" s="5">
        <v>45597</v>
      </c>
      <c r="L164" s="1" t="str">
        <f>"150.0"</f>
        <v>150.0</v>
      </c>
      <c r="M164" s="1" t="s">
        <v>22</v>
      </c>
      <c r="N164" s="5">
        <v>45597</v>
      </c>
    </row>
    <row r="165" spans="1:14" x14ac:dyDescent="0.3">
      <c r="A165" s="1" t="str">
        <f>"9_1576/04054323-11/2024/П"</f>
        <v>9_1576/04054323-11/2024/П</v>
      </c>
      <c r="B165" s="6">
        <v>45597</v>
      </c>
      <c r="C165" s="1" t="str">
        <f>"01"</f>
        <v>01</v>
      </c>
      <c r="D165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65" s="1" t="str">
        <f>"04054323"</f>
        <v>04054323</v>
      </c>
      <c r="F165" s="1" t="str">
        <f>"Рогатинська міська рада"</f>
        <v>Рогатинська міська рада</v>
      </c>
      <c r="G165" s="1" t="str">
        <f>"Фізична особа"</f>
        <v>Фізична особа</v>
      </c>
      <c r="H165" s="1" t="s">
        <v>20</v>
      </c>
      <c r="I165" s="1" t="s">
        <v>20</v>
      </c>
      <c r="J165" s="1" t="str">
        <f t="shared" si="20"/>
        <v>Закрито</v>
      </c>
      <c r="K165" s="5">
        <v>45637</v>
      </c>
      <c r="L165" s="1" t="s">
        <v>20</v>
      </c>
      <c r="M165" s="1" t="s">
        <v>22</v>
      </c>
      <c r="N165" s="5">
        <v>45637</v>
      </c>
    </row>
    <row r="166" spans="1:14" x14ac:dyDescent="0.3">
      <c r="A166" s="1" t="str">
        <f>"2_1743/2129-11/2024/М"</f>
        <v>2_1743/2129-11/2024/М</v>
      </c>
      <c r="B166" s="6">
        <v>45597</v>
      </c>
      <c r="C166" s="1" t="str">
        <f>"00041"</f>
        <v>00041</v>
      </c>
      <c r="D16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66" s="1" t="s">
        <v>20</v>
      </c>
      <c r="F16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6" s="1" t="str">
        <f>"Фізична особа"</f>
        <v>Фізична особа</v>
      </c>
      <c r="H166" s="1" t="s">
        <v>20</v>
      </c>
      <c r="I166" s="1" t="s">
        <v>20</v>
      </c>
      <c r="J166" s="1" t="str">
        <f t="shared" si="20"/>
        <v>Закрито</v>
      </c>
      <c r="K166" s="5">
        <v>45597</v>
      </c>
      <c r="L166" s="1" t="str">
        <f>"300.0"</f>
        <v>300.0</v>
      </c>
      <c r="M166" s="1" t="s">
        <v>22</v>
      </c>
      <c r="N166" s="5">
        <v>45597</v>
      </c>
    </row>
    <row r="167" spans="1:14" x14ac:dyDescent="0.3">
      <c r="A167" s="1" t="str">
        <f>"2_1744/2129-11/2024/Т"</f>
        <v>2_1744/2129-11/2024/Т</v>
      </c>
      <c r="B167" s="6">
        <v>45597</v>
      </c>
      <c r="C167" s="1" t="str">
        <f>"00042"</f>
        <v>00042</v>
      </c>
      <c r="D167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67" s="1" t="s">
        <v>20</v>
      </c>
      <c r="F16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7" s="1" t="str">
        <f>"Юридична особа"</f>
        <v>Юридична особа</v>
      </c>
      <c r="H167" s="1" t="str">
        <f>"ТОВ ""Колос опілля"""</f>
        <v>ТОВ "Колос опілля"</v>
      </c>
      <c r="I167" s="1" t="str">
        <f>"39309535"</f>
        <v>39309535</v>
      </c>
      <c r="J167" s="1" t="str">
        <f t="shared" si="20"/>
        <v>Закрито</v>
      </c>
      <c r="K167" s="5">
        <v>45597</v>
      </c>
      <c r="L167" s="1" t="str">
        <f>"150.0"</f>
        <v>150.0</v>
      </c>
      <c r="M167" s="1" t="s">
        <v>22</v>
      </c>
      <c r="N167" s="5">
        <v>45597</v>
      </c>
    </row>
    <row r="168" spans="1:14" x14ac:dyDescent="0.3">
      <c r="A168" s="1" t="str">
        <f>"5_487/2129-11/2024/В"</f>
        <v>5_487/2129-11/2024/В</v>
      </c>
      <c r="B168" s="6">
        <v>45597</v>
      </c>
      <c r="C168" s="1" t="str">
        <f>"00106"</f>
        <v>00106</v>
      </c>
      <c r="D168" s="2" t="str">
        <f>"Державна реєстрація фізичної особи -  підприємця"</f>
        <v>Державна реєстрація фізичної особи -  підприємця</v>
      </c>
      <c r="E168" s="1" t="s">
        <v>20</v>
      </c>
      <c r="F16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8" s="1" t="str">
        <f>"Фізична особа"</f>
        <v>Фізична особа</v>
      </c>
      <c r="H168" s="1" t="s">
        <v>20</v>
      </c>
      <c r="I168" s="1" t="s">
        <v>20</v>
      </c>
      <c r="J168" s="1" t="str">
        <f t="shared" si="20"/>
        <v>Закрито</v>
      </c>
      <c r="K168" s="5">
        <v>45597</v>
      </c>
      <c r="L168" s="1" t="s">
        <v>20</v>
      </c>
      <c r="M168" s="1" t="s">
        <v>22</v>
      </c>
      <c r="N168" s="5">
        <v>45597</v>
      </c>
    </row>
    <row r="169" spans="1:14" x14ac:dyDescent="0.3">
      <c r="A169" s="1" t="str">
        <f>"9_1577/04054323-11/2024/П"</f>
        <v>9_1577/04054323-11/2024/П</v>
      </c>
      <c r="B169" s="6">
        <v>45597</v>
      </c>
      <c r="C169" s="1" t="str">
        <f>"01-1"</f>
        <v>01-1</v>
      </c>
      <c r="D169" s="2" t="s">
        <v>0</v>
      </c>
      <c r="E169" s="1" t="str">
        <f>"04054323"</f>
        <v>04054323</v>
      </c>
      <c r="F169" s="1" t="str">
        <f>"Рогатинська міська рада"</f>
        <v>Рогатинська міська рада</v>
      </c>
      <c r="G169" s="1" t="str">
        <f>"Фізична особа"</f>
        <v>Фізична особа</v>
      </c>
      <c r="H169" s="1" t="s">
        <v>20</v>
      </c>
      <c r="I169" s="1" t="s">
        <v>20</v>
      </c>
      <c r="J169" s="1" t="str">
        <f t="shared" si="20"/>
        <v>Закрито</v>
      </c>
      <c r="K169" s="5">
        <v>45637</v>
      </c>
      <c r="L169" s="1" t="s">
        <v>20</v>
      </c>
      <c r="M169" s="1" t="s">
        <v>22</v>
      </c>
      <c r="N169" s="5">
        <v>45637</v>
      </c>
    </row>
    <row r="170" spans="1:14" x14ac:dyDescent="0.3">
      <c r="A170" s="1" t="str">
        <f>"2_1745/2129-11/2024/Т"</f>
        <v>2_1745/2129-11/2024/Т</v>
      </c>
      <c r="B170" s="6">
        <v>45597</v>
      </c>
      <c r="C170" s="1" t="str">
        <f>"00042"</f>
        <v>00042</v>
      </c>
      <c r="D170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70" s="1" t="s">
        <v>20</v>
      </c>
      <c r="F17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0" s="1" t="str">
        <f>"Юридична особа"</f>
        <v>Юридична особа</v>
      </c>
      <c r="H170" s="1" t="str">
        <f>"ТОВ ""Колос опілля"""</f>
        <v>ТОВ "Колос опілля"</v>
      </c>
      <c r="I170" s="1" t="str">
        <f>"39309535"</f>
        <v>39309535</v>
      </c>
      <c r="J170" s="1" t="str">
        <f t="shared" si="20"/>
        <v>Закрито</v>
      </c>
      <c r="K170" s="5">
        <v>45597</v>
      </c>
      <c r="L170" s="1" t="str">
        <f>"150.0"</f>
        <v>150.0</v>
      </c>
      <c r="M170" s="1" t="s">
        <v>22</v>
      </c>
      <c r="N170" s="5">
        <v>45597</v>
      </c>
    </row>
    <row r="171" spans="1:14" x14ac:dyDescent="0.3">
      <c r="A171" s="1" t="str">
        <f>"9_1578/04054323-11/2024/П"</f>
        <v>9_1578/04054323-11/2024/П</v>
      </c>
      <c r="B171" s="6">
        <v>45597</v>
      </c>
      <c r="C171" s="1" t="str">
        <f>"11"</f>
        <v>11</v>
      </c>
      <c r="D171" s="2" t="str">
        <f>"11 Видача рішення про поновлення договору оренди землі"</f>
        <v>11 Видача рішення про поновлення договору оренди землі</v>
      </c>
      <c r="E171" s="1" t="str">
        <f>"04054323"</f>
        <v>04054323</v>
      </c>
      <c r="F171" s="1" t="str">
        <f>"Рогатинська міська рада"</f>
        <v>Рогатинська міська рада</v>
      </c>
      <c r="G171" s="1" t="str">
        <f>"Юридична особа"</f>
        <v>Юридична особа</v>
      </c>
      <c r="H171" s="1" t="str">
        <f>"ПАТ ""НАСК""ОРЕНДА"""</f>
        <v>ПАТ "НАСК"ОРЕНДА"</v>
      </c>
      <c r="I171" s="1" t="str">
        <f>"00034186"</f>
        <v>00034186</v>
      </c>
      <c r="J171" s="1" t="str">
        <f t="shared" si="20"/>
        <v>Закрито</v>
      </c>
      <c r="K171" s="5">
        <v>45637</v>
      </c>
      <c r="L171" s="1" t="s">
        <v>20</v>
      </c>
      <c r="M171" s="1" t="s">
        <v>22</v>
      </c>
      <c r="N171" s="5">
        <v>45637</v>
      </c>
    </row>
    <row r="172" spans="1:14" x14ac:dyDescent="0.3">
      <c r="A172" s="1" t="str">
        <f>"4_1216/03193413-11/2024/Г"</f>
        <v>4_1216/03193413-11/2024/Г</v>
      </c>
      <c r="B172" s="6">
        <v>45597</v>
      </c>
      <c r="C172" s="1" t="str">
        <f>"01597"</f>
        <v>01597</v>
      </c>
      <c r="D172" s="2" t="s">
        <v>3</v>
      </c>
      <c r="E172" s="1" t="str">
        <f>"03193413"</f>
        <v>03193413</v>
      </c>
      <c r="F17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2" s="1" t="str">
        <f t="shared" ref="G172:G181" si="21">"Фізична особа"</f>
        <v>Фізична особа</v>
      </c>
      <c r="H172" s="1" t="s">
        <v>20</v>
      </c>
      <c r="I172" s="1" t="s">
        <v>20</v>
      </c>
      <c r="J172" s="1" t="str">
        <f t="shared" si="20"/>
        <v>Закрито</v>
      </c>
      <c r="K172" s="5">
        <v>45615</v>
      </c>
      <c r="L172" s="1" t="s">
        <v>20</v>
      </c>
      <c r="M172" s="1" t="s">
        <v>22</v>
      </c>
      <c r="N172" s="5">
        <v>45615</v>
      </c>
    </row>
    <row r="173" spans="1:14" x14ac:dyDescent="0.3">
      <c r="A173" s="1" t="str">
        <f>"7_250/2129-11/2024/Ф"</f>
        <v>7_250/2129-11/2024/Ф</v>
      </c>
      <c r="B173" s="6">
        <v>45597</v>
      </c>
      <c r="C173" s="1" t="str">
        <f>"33"</f>
        <v>33</v>
      </c>
      <c r="D173" s="2" t="str">
        <f>"33 Довідки різного характеру"</f>
        <v>33 Довідки різного характеру</v>
      </c>
      <c r="E173" s="1" t="s">
        <v>20</v>
      </c>
      <c r="F173" s="1" t="str">
        <f t="shared" ref="F173:F179" si="22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3" s="1" t="str">
        <f t="shared" si="21"/>
        <v>Фізична особа</v>
      </c>
      <c r="H173" s="1" t="s">
        <v>20</v>
      </c>
      <c r="I173" s="1" t="s">
        <v>20</v>
      </c>
      <c r="J173" s="1" t="str">
        <f t="shared" si="20"/>
        <v>Закрито</v>
      </c>
      <c r="K173" s="5">
        <v>45597</v>
      </c>
      <c r="L173" s="1" t="s">
        <v>20</v>
      </c>
      <c r="M173" s="1" t="s">
        <v>22</v>
      </c>
      <c r="N173" s="5">
        <v>45597</v>
      </c>
    </row>
    <row r="174" spans="1:14" x14ac:dyDescent="0.3">
      <c r="A174" s="1" t="str">
        <f>"1_5615/2129-11/2024/Ф"</f>
        <v>1_5615/2129-11/2024/Ф</v>
      </c>
      <c r="B174" s="6">
        <v>45597</v>
      </c>
      <c r="C174" s="1" t="str">
        <f>"00038"</f>
        <v>00038</v>
      </c>
      <c r="D17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4" s="1" t="s">
        <v>20</v>
      </c>
      <c r="F174" s="1" t="str">
        <f t="shared" si="22"/>
        <v>Центр надання адміністративних послуг Рогатинської міської ради</v>
      </c>
      <c r="G174" s="1" t="str">
        <f t="shared" si="21"/>
        <v>Фізична особа</v>
      </c>
      <c r="H174" s="1" t="s">
        <v>20</v>
      </c>
      <c r="I174" s="1" t="s">
        <v>20</v>
      </c>
      <c r="J174" s="1" t="str">
        <f t="shared" si="20"/>
        <v>Закрито</v>
      </c>
      <c r="K174" s="8">
        <v>45597</v>
      </c>
      <c r="L174" s="1" t="s">
        <v>20</v>
      </c>
      <c r="M174" s="1" t="s">
        <v>22</v>
      </c>
      <c r="N174" s="5">
        <v>45597</v>
      </c>
    </row>
    <row r="175" spans="1:14" x14ac:dyDescent="0.3">
      <c r="A175" s="1" t="str">
        <f>"1_5616/2129-11/2024/Ф"</f>
        <v>1_5616/2129-11/2024/Ф</v>
      </c>
      <c r="B175" s="6">
        <v>45597</v>
      </c>
      <c r="C175" s="1" t="str">
        <f>"00034"</f>
        <v>00034</v>
      </c>
      <c r="D175" s="2" t="str">
        <f>"Реєстрація місця проживання"</f>
        <v>Реєстрація місця проживання</v>
      </c>
      <c r="E175" s="1" t="s">
        <v>20</v>
      </c>
      <c r="F175" s="1" t="str">
        <f t="shared" si="22"/>
        <v>Центр надання адміністративних послуг Рогатинської міської ради</v>
      </c>
      <c r="G175" s="1" t="str">
        <f t="shared" si="21"/>
        <v>Фізична особа</v>
      </c>
      <c r="H175" s="1" t="s">
        <v>20</v>
      </c>
      <c r="I175" s="1" t="s">
        <v>20</v>
      </c>
      <c r="J175" s="1" t="str">
        <f t="shared" si="20"/>
        <v>Закрито</v>
      </c>
      <c r="K175" s="8">
        <v>45597</v>
      </c>
      <c r="L175" s="1" t="str">
        <f>"45.52"</f>
        <v>45.52</v>
      </c>
      <c r="M175" s="1" t="s">
        <v>22</v>
      </c>
      <c r="N175" s="5">
        <v>45597</v>
      </c>
    </row>
    <row r="176" spans="1:14" x14ac:dyDescent="0.3">
      <c r="A176" s="1" t="str">
        <f>"28_616-11/2024/С"</f>
        <v>28_616-11/2024/С</v>
      </c>
      <c r="B176" s="6">
        <v>45597</v>
      </c>
      <c r="C176" s="1" t="str">
        <f>"33"</f>
        <v>33</v>
      </c>
      <c r="D176" s="2" t="str">
        <f>"33 Довідки різного характеру"</f>
        <v>33 Довідки різного характеру</v>
      </c>
      <c r="E176" s="1" t="s">
        <v>20</v>
      </c>
      <c r="F176" s="1" t="str">
        <f t="shared" si="22"/>
        <v>Центр надання адміністративних послуг Рогатинської міської ради</v>
      </c>
      <c r="G176" s="1" t="str">
        <f t="shared" si="21"/>
        <v>Фізична особа</v>
      </c>
      <c r="H176" s="1" t="s">
        <v>20</v>
      </c>
      <c r="I176" s="1" t="s">
        <v>20</v>
      </c>
      <c r="J176" s="1" t="str">
        <f t="shared" si="20"/>
        <v>Закрито</v>
      </c>
      <c r="K176" s="5">
        <v>45597</v>
      </c>
      <c r="L176" s="1" t="s">
        <v>20</v>
      </c>
      <c r="M176" s="1" t="s">
        <v>22</v>
      </c>
      <c r="N176" s="5">
        <v>45597</v>
      </c>
    </row>
    <row r="177" spans="1:14" x14ac:dyDescent="0.3">
      <c r="A177" s="1" t="str">
        <f>"26_348-11/2024/К"</f>
        <v>26_348-11/2024/К</v>
      </c>
      <c r="B177" s="6">
        <v>45597</v>
      </c>
      <c r="C177" s="1" t="str">
        <f>"00038"</f>
        <v>00038</v>
      </c>
      <c r="D17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7" s="1" t="s">
        <v>20</v>
      </c>
      <c r="F177" s="1" t="str">
        <f t="shared" si="22"/>
        <v>Центр надання адміністративних послуг Рогатинської міської ради</v>
      </c>
      <c r="G177" s="1" t="str">
        <f t="shared" si="21"/>
        <v>Фізична особа</v>
      </c>
      <c r="H177" s="1" t="s">
        <v>20</v>
      </c>
      <c r="I177" s="1" t="s">
        <v>20</v>
      </c>
      <c r="J177" s="1" t="str">
        <f t="shared" si="20"/>
        <v>Закрито</v>
      </c>
      <c r="K177" s="5">
        <v>45597</v>
      </c>
      <c r="L177" s="1" t="s">
        <v>20</v>
      </c>
      <c r="M177" s="1" t="s">
        <v>22</v>
      </c>
      <c r="N177" s="5">
        <v>45597</v>
      </c>
    </row>
    <row r="178" spans="1:14" x14ac:dyDescent="0.3">
      <c r="A178" s="1" t="str">
        <f>"28_617-11/2024/М"</f>
        <v>28_617-11/2024/М</v>
      </c>
      <c r="B178" s="6">
        <v>45597</v>
      </c>
      <c r="C178" s="1" t="str">
        <f>"33"</f>
        <v>33</v>
      </c>
      <c r="D178" s="2" t="str">
        <f>"33 Довідки різного характеру"</f>
        <v>33 Довідки різного характеру</v>
      </c>
      <c r="E178" s="1" t="s">
        <v>20</v>
      </c>
      <c r="F178" s="1" t="str">
        <f t="shared" si="22"/>
        <v>Центр надання адміністративних послуг Рогатинської міської ради</v>
      </c>
      <c r="G178" s="1" t="str">
        <f t="shared" si="21"/>
        <v>Фізична особа</v>
      </c>
      <c r="H178" s="1" t="s">
        <v>20</v>
      </c>
      <c r="I178" s="1" t="s">
        <v>20</v>
      </c>
      <c r="J178" s="1" t="str">
        <f t="shared" si="20"/>
        <v>Закрито</v>
      </c>
      <c r="K178" s="5">
        <v>45597</v>
      </c>
      <c r="L178" s="1" t="s">
        <v>20</v>
      </c>
      <c r="M178" s="1" t="s">
        <v>22</v>
      </c>
      <c r="N178" s="5">
        <v>45597</v>
      </c>
    </row>
    <row r="179" spans="1:14" x14ac:dyDescent="0.3">
      <c r="A179" s="1" t="str">
        <f>"28_618-11/2024/Ш"</f>
        <v>28_618-11/2024/Ш</v>
      </c>
      <c r="B179" s="6">
        <v>45597</v>
      </c>
      <c r="C179" s="1" t="str">
        <f>"33"</f>
        <v>33</v>
      </c>
      <c r="D179" s="2" t="str">
        <f>"33 Довідки різного характеру"</f>
        <v>33 Довідки різного характеру</v>
      </c>
      <c r="E179" s="1" t="s">
        <v>20</v>
      </c>
      <c r="F179" s="1" t="str">
        <f t="shared" si="22"/>
        <v>Центр надання адміністративних послуг Рогатинської міської ради</v>
      </c>
      <c r="G179" s="1" t="str">
        <f t="shared" si="21"/>
        <v>Фізична особа</v>
      </c>
      <c r="H179" s="1" t="s">
        <v>20</v>
      </c>
      <c r="I179" s="1" t="s">
        <v>20</v>
      </c>
      <c r="J179" s="1" t="str">
        <f t="shared" si="20"/>
        <v>Закрито</v>
      </c>
      <c r="K179" s="5">
        <v>45597</v>
      </c>
      <c r="L179" s="1" t="s">
        <v>20</v>
      </c>
      <c r="M179" s="1" t="s">
        <v>22</v>
      </c>
      <c r="N179" s="5">
        <v>45597</v>
      </c>
    </row>
    <row r="180" spans="1:14" x14ac:dyDescent="0.3">
      <c r="A180" s="1" t="str">
        <f>"4_1217/03193413-11/2024/В"</f>
        <v>4_1217/03193413-11/2024/В</v>
      </c>
      <c r="B180" s="6">
        <v>45597</v>
      </c>
      <c r="C180" s="1" t="str">
        <f>"001040"</f>
        <v>001040</v>
      </c>
      <c r="D180" s="2" t="str">
        <f>"Надання допомоги на проживання внутрішньо переміщеним особам"</f>
        <v>Надання допомоги на проживання внутрішньо переміщеним особам</v>
      </c>
      <c r="E180" s="1" t="str">
        <f>"03193413"</f>
        <v>03193413</v>
      </c>
      <c r="F18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0" s="1" t="str">
        <f t="shared" si="21"/>
        <v>Фізична особа</v>
      </c>
      <c r="H180" s="1" t="s">
        <v>20</v>
      </c>
      <c r="I180" s="1" t="s">
        <v>20</v>
      </c>
      <c r="J180" s="1" t="str">
        <f t="shared" si="20"/>
        <v>Закрито</v>
      </c>
      <c r="K180" s="5">
        <v>45600</v>
      </c>
      <c r="L180" s="1" t="s">
        <v>20</v>
      </c>
      <c r="M180" s="1" t="s">
        <v>22</v>
      </c>
      <c r="N180" s="5">
        <v>45600</v>
      </c>
    </row>
    <row r="181" spans="1:14" x14ac:dyDescent="0.3">
      <c r="A181" s="1" t="str">
        <f>"28_619-11/2024/В"</f>
        <v>28_619-11/2024/В</v>
      </c>
      <c r="B181" s="6">
        <v>45597</v>
      </c>
      <c r="C181" s="1" t="str">
        <f>"33"</f>
        <v>33</v>
      </c>
      <c r="D181" s="2" t="str">
        <f>"33 Довідки різного характеру"</f>
        <v>33 Довідки різного характеру</v>
      </c>
      <c r="E181" s="1" t="s">
        <v>20</v>
      </c>
      <c r="F181" s="1" t="str">
        <f t="shared" ref="F181:F194" si="23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1" s="1" t="str">
        <f t="shared" si="21"/>
        <v>Фізична особа</v>
      </c>
      <c r="H181" s="1" t="s">
        <v>20</v>
      </c>
      <c r="I181" s="1" t="s">
        <v>20</v>
      </c>
      <c r="J181" s="1" t="str">
        <f t="shared" si="20"/>
        <v>Закрито</v>
      </c>
      <c r="K181" s="5">
        <v>45597</v>
      </c>
      <c r="L181" s="1" t="s">
        <v>20</v>
      </c>
      <c r="M181" s="1" t="s">
        <v>22</v>
      </c>
      <c r="N181" s="5">
        <v>45597</v>
      </c>
    </row>
    <row r="182" spans="1:14" x14ac:dyDescent="0.3">
      <c r="A182" s="1" t="str">
        <f>"2_1746/2129-11/2024/Р"</f>
        <v>2_1746/2129-11/2024/Р</v>
      </c>
      <c r="B182" s="6">
        <v>45597</v>
      </c>
      <c r="C182" s="1" t="str">
        <f t="shared" ref="C182:C192" si="24">"00041"</f>
        <v>00041</v>
      </c>
      <c r="D182" s="2" t="str">
        <f t="shared" ref="D182:D192" si="25"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2" s="1" t="s">
        <v>20</v>
      </c>
      <c r="F182" s="1" t="str">
        <f t="shared" si="23"/>
        <v>Центр надання адміністративних послуг Рогатинської міської ради</v>
      </c>
      <c r="G182" s="1" t="str">
        <f t="shared" ref="G182:G192" si="26">"Юридична особа"</f>
        <v>Юридична особа</v>
      </c>
      <c r="H182" s="1" t="str">
        <f t="shared" ref="H182:H192" si="27">"РОГАТИНСЬКА МІСЬКА РАДА"</f>
        <v>РОГАТИНСЬКА МІСЬКА РАДА</v>
      </c>
      <c r="I182" s="1" t="str">
        <f t="shared" ref="I182:I192" si="28">"04054323"</f>
        <v>04054323</v>
      </c>
      <c r="J182" s="1" t="str">
        <f t="shared" si="20"/>
        <v>Закрито</v>
      </c>
      <c r="K182" s="5">
        <v>45597</v>
      </c>
      <c r="L182" s="1" t="s">
        <v>20</v>
      </c>
      <c r="M182" s="1" t="s">
        <v>22</v>
      </c>
      <c r="N182" s="5">
        <v>45597</v>
      </c>
    </row>
    <row r="183" spans="1:14" x14ac:dyDescent="0.3">
      <c r="A183" s="1" t="str">
        <f>"2_1747/2129-11/2024/Р"</f>
        <v>2_1747/2129-11/2024/Р</v>
      </c>
      <c r="B183" s="6">
        <v>45597</v>
      </c>
      <c r="C183" s="1" t="str">
        <f t="shared" si="24"/>
        <v>00041</v>
      </c>
      <c r="D183" s="2" t="str">
        <f t="shared" si="25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3" s="1" t="s">
        <v>20</v>
      </c>
      <c r="F183" s="1" t="str">
        <f t="shared" si="23"/>
        <v>Центр надання адміністративних послуг Рогатинської міської ради</v>
      </c>
      <c r="G183" s="1" t="str">
        <f t="shared" si="26"/>
        <v>Юридична особа</v>
      </c>
      <c r="H183" s="1" t="str">
        <f t="shared" si="27"/>
        <v>РОГАТИНСЬКА МІСЬКА РАДА</v>
      </c>
      <c r="I183" s="1" t="str">
        <f t="shared" si="28"/>
        <v>04054323</v>
      </c>
      <c r="J183" s="1" t="str">
        <f t="shared" si="20"/>
        <v>Закрито</v>
      </c>
      <c r="K183" s="5">
        <v>45597</v>
      </c>
      <c r="L183" s="1" t="s">
        <v>20</v>
      </c>
      <c r="M183" s="1" t="s">
        <v>22</v>
      </c>
      <c r="N183" s="5">
        <v>45597</v>
      </c>
    </row>
    <row r="184" spans="1:14" x14ac:dyDescent="0.3">
      <c r="A184" s="1" t="str">
        <f>"2_1748/2129-11/2024/Р"</f>
        <v>2_1748/2129-11/2024/Р</v>
      </c>
      <c r="B184" s="6">
        <v>45597</v>
      </c>
      <c r="C184" s="1" t="str">
        <f t="shared" si="24"/>
        <v>00041</v>
      </c>
      <c r="D184" s="2" t="str">
        <f t="shared" si="25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4" s="1" t="s">
        <v>20</v>
      </c>
      <c r="F184" s="1" t="str">
        <f t="shared" si="23"/>
        <v>Центр надання адміністративних послуг Рогатинської міської ради</v>
      </c>
      <c r="G184" s="1" t="str">
        <f t="shared" si="26"/>
        <v>Юридична особа</v>
      </c>
      <c r="H184" s="1" t="str">
        <f t="shared" si="27"/>
        <v>РОГАТИНСЬКА МІСЬКА РАДА</v>
      </c>
      <c r="I184" s="1" t="str">
        <f t="shared" si="28"/>
        <v>04054323</v>
      </c>
      <c r="J184" s="1" t="str">
        <f t="shared" si="20"/>
        <v>Закрито</v>
      </c>
      <c r="K184" s="5">
        <v>45597</v>
      </c>
      <c r="L184" s="1" t="s">
        <v>20</v>
      </c>
      <c r="M184" s="1" t="s">
        <v>22</v>
      </c>
      <c r="N184" s="5">
        <v>45597</v>
      </c>
    </row>
    <row r="185" spans="1:14" x14ac:dyDescent="0.3">
      <c r="A185" s="1" t="str">
        <f>"2_1749/2129-11/2024/Р"</f>
        <v>2_1749/2129-11/2024/Р</v>
      </c>
      <c r="B185" s="6">
        <v>45597</v>
      </c>
      <c r="C185" s="1" t="str">
        <f t="shared" si="24"/>
        <v>00041</v>
      </c>
      <c r="D185" s="2" t="str">
        <f t="shared" si="25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5" s="1" t="s">
        <v>20</v>
      </c>
      <c r="F185" s="1" t="str">
        <f t="shared" si="23"/>
        <v>Центр надання адміністративних послуг Рогатинської міської ради</v>
      </c>
      <c r="G185" s="1" t="str">
        <f t="shared" si="26"/>
        <v>Юридична особа</v>
      </c>
      <c r="H185" s="1" t="str">
        <f t="shared" si="27"/>
        <v>РОГАТИНСЬКА МІСЬКА РАДА</v>
      </c>
      <c r="I185" s="1" t="str">
        <f t="shared" si="28"/>
        <v>04054323</v>
      </c>
      <c r="J185" s="1" t="str">
        <f t="shared" si="20"/>
        <v>Закрито</v>
      </c>
      <c r="K185" s="5">
        <v>45597</v>
      </c>
      <c r="L185" s="1" t="s">
        <v>20</v>
      </c>
      <c r="M185" s="1" t="s">
        <v>22</v>
      </c>
      <c r="N185" s="5">
        <v>45597</v>
      </c>
    </row>
    <row r="186" spans="1:14" x14ac:dyDescent="0.3">
      <c r="A186" s="1" t="str">
        <f>"2_1750/2129-11/2024/Р"</f>
        <v>2_1750/2129-11/2024/Р</v>
      </c>
      <c r="B186" s="6">
        <v>45597</v>
      </c>
      <c r="C186" s="1" t="str">
        <f t="shared" si="24"/>
        <v>00041</v>
      </c>
      <c r="D186" s="2" t="str">
        <f t="shared" si="25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6" s="1" t="s">
        <v>20</v>
      </c>
      <c r="F186" s="1" t="str">
        <f t="shared" si="23"/>
        <v>Центр надання адміністративних послуг Рогатинської міської ради</v>
      </c>
      <c r="G186" s="1" t="str">
        <f t="shared" si="26"/>
        <v>Юридична особа</v>
      </c>
      <c r="H186" s="1" t="str">
        <f t="shared" si="27"/>
        <v>РОГАТИНСЬКА МІСЬКА РАДА</v>
      </c>
      <c r="I186" s="1" t="str">
        <f t="shared" si="28"/>
        <v>04054323</v>
      </c>
      <c r="J186" s="1" t="str">
        <f t="shared" si="20"/>
        <v>Закрито</v>
      </c>
      <c r="K186" s="5">
        <v>45597</v>
      </c>
      <c r="L186" s="1" t="s">
        <v>20</v>
      </c>
      <c r="M186" s="1" t="s">
        <v>22</v>
      </c>
      <c r="N186" s="5">
        <v>45597</v>
      </c>
    </row>
    <row r="187" spans="1:14" x14ac:dyDescent="0.3">
      <c r="A187" s="1" t="str">
        <f>"2_1751/2129-11/2024/Р"</f>
        <v>2_1751/2129-11/2024/Р</v>
      </c>
      <c r="B187" s="6">
        <v>45597</v>
      </c>
      <c r="C187" s="1" t="str">
        <f t="shared" si="24"/>
        <v>00041</v>
      </c>
      <c r="D187" s="2" t="str">
        <f t="shared" si="25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7" s="1" t="s">
        <v>20</v>
      </c>
      <c r="F187" s="1" t="str">
        <f t="shared" si="23"/>
        <v>Центр надання адміністративних послуг Рогатинської міської ради</v>
      </c>
      <c r="G187" s="1" t="str">
        <f t="shared" si="26"/>
        <v>Юридична особа</v>
      </c>
      <c r="H187" s="1" t="str">
        <f t="shared" si="27"/>
        <v>РОГАТИНСЬКА МІСЬКА РАДА</v>
      </c>
      <c r="I187" s="1" t="str">
        <f t="shared" si="28"/>
        <v>04054323</v>
      </c>
      <c r="J187" s="1" t="str">
        <f t="shared" si="20"/>
        <v>Закрито</v>
      </c>
      <c r="K187" s="5">
        <v>45597</v>
      </c>
      <c r="L187" s="1" t="s">
        <v>20</v>
      </c>
      <c r="M187" s="1" t="s">
        <v>22</v>
      </c>
      <c r="N187" s="5">
        <v>45597</v>
      </c>
    </row>
    <row r="188" spans="1:14" x14ac:dyDescent="0.3">
      <c r="A188" s="1" t="str">
        <f>"2_1752/2129-11/2024/Р"</f>
        <v>2_1752/2129-11/2024/Р</v>
      </c>
      <c r="B188" s="6">
        <v>45597</v>
      </c>
      <c r="C188" s="1" t="str">
        <f t="shared" si="24"/>
        <v>00041</v>
      </c>
      <c r="D188" s="2" t="str">
        <f t="shared" si="25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8" s="1" t="s">
        <v>20</v>
      </c>
      <c r="F188" s="1" t="str">
        <f t="shared" si="23"/>
        <v>Центр надання адміністративних послуг Рогатинської міської ради</v>
      </c>
      <c r="G188" s="1" t="str">
        <f t="shared" si="26"/>
        <v>Юридична особа</v>
      </c>
      <c r="H188" s="1" t="str">
        <f t="shared" si="27"/>
        <v>РОГАТИНСЬКА МІСЬКА РАДА</v>
      </c>
      <c r="I188" s="1" t="str">
        <f t="shared" si="28"/>
        <v>04054323</v>
      </c>
      <c r="J188" s="1" t="str">
        <f t="shared" si="20"/>
        <v>Закрито</v>
      </c>
      <c r="K188" s="5">
        <v>45597</v>
      </c>
      <c r="L188" s="1" t="s">
        <v>20</v>
      </c>
      <c r="M188" s="1" t="s">
        <v>22</v>
      </c>
      <c r="N188" s="5">
        <v>45597</v>
      </c>
    </row>
    <row r="189" spans="1:14" x14ac:dyDescent="0.3">
      <c r="A189" s="1" t="str">
        <f>"2_1753/2129-11/2024/Р"</f>
        <v>2_1753/2129-11/2024/Р</v>
      </c>
      <c r="B189" s="6">
        <v>45597</v>
      </c>
      <c r="C189" s="1" t="str">
        <f t="shared" si="24"/>
        <v>00041</v>
      </c>
      <c r="D189" s="2" t="str">
        <f t="shared" si="25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89" s="1" t="s">
        <v>20</v>
      </c>
      <c r="F189" s="1" t="str">
        <f t="shared" si="23"/>
        <v>Центр надання адміністративних послуг Рогатинської міської ради</v>
      </c>
      <c r="G189" s="1" t="str">
        <f t="shared" si="26"/>
        <v>Юридична особа</v>
      </c>
      <c r="H189" s="1" t="str">
        <f t="shared" si="27"/>
        <v>РОГАТИНСЬКА МІСЬКА РАДА</v>
      </c>
      <c r="I189" s="1" t="str">
        <f t="shared" si="28"/>
        <v>04054323</v>
      </c>
      <c r="J189" s="1" t="str">
        <f t="shared" si="20"/>
        <v>Закрито</v>
      </c>
      <c r="K189" s="5">
        <v>45597</v>
      </c>
      <c r="L189" s="1" t="s">
        <v>20</v>
      </c>
      <c r="M189" s="1" t="s">
        <v>22</v>
      </c>
      <c r="N189" s="5">
        <v>45597</v>
      </c>
    </row>
    <row r="190" spans="1:14" x14ac:dyDescent="0.3">
      <c r="A190" s="1" t="str">
        <f>"2_1754/2129-11/2024/Р"</f>
        <v>2_1754/2129-11/2024/Р</v>
      </c>
      <c r="B190" s="6">
        <v>45597</v>
      </c>
      <c r="C190" s="1" t="str">
        <f t="shared" si="24"/>
        <v>00041</v>
      </c>
      <c r="D190" s="2" t="str">
        <f t="shared" si="25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0" s="1" t="s">
        <v>20</v>
      </c>
      <c r="F190" s="1" t="str">
        <f t="shared" si="23"/>
        <v>Центр надання адміністративних послуг Рогатинської міської ради</v>
      </c>
      <c r="G190" s="1" t="str">
        <f t="shared" si="26"/>
        <v>Юридична особа</v>
      </c>
      <c r="H190" s="1" t="str">
        <f t="shared" si="27"/>
        <v>РОГАТИНСЬКА МІСЬКА РАДА</v>
      </c>
      <c r="I190" s="1" t="str">
        <f t="shared" si="28"/>
        <v>04054323</v>
      </c>
      <c r="J190" s="1" t="str">
        <f t="shared" si="20"/>
        <v>Закрито</v>
      </c>
      <c r="K190" s="5">
        <v>45597</v>
      </c>
      <c r="L190" s="1" t="s">
        <v>20</v>
      </c>
      <c r="M190" s="1" t="s">
        <v>22</v>
      </c>
      <c r="N190" s="5">
        <v>45597</v>
      </c>
    </row>
    <row r="191" spans="1:14" x14ac:dyDescent="0.3">
      <c r="A191" s="1" t="str">
        <f>"2_1755/2129-11/2024/Р"</f>
        <v>2_1755/2129-11/2024/Р</v>
      </c>
      <c r="B191" s="6">
        <v>45597</v>
      </c>
      <c r="C191" s="1" t="str">
        <f t="shared" si="24"/>
        <v>00041</v>
      </c>
      <c r="D191" s="2" t="str">
        <f t="shared" si="25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1" s="1" t="s">
        <v>20</v>
      </c>
      <c r="F191" s="1" t="str">
        <f t="shared" si="23"/>
        <v>Центр надання адміністративних послуг Рогатинської міської ради</v>
      </c>
      <c r="G191" s="1" t="str">
        <f t="shared" si="26"/>
        <v>Юридична особа</v>
      </c>
      <c r="H191" s="1" t="str">
        <f t="shared" si="27"/>
        <v>РОГАТИНСЬКА МІСЬКА РАДА</v>
      </c>
      <c r="I191" s="1" t="str">
        <f t="shared" si="28"/>
        <v>04054323</v>
      </c>
      <c r="J191" s="1" t="str">
        <f t="shared" si="20"/>
        <v>Закрито</v>
      </c>
      <c r="K191" s="5">
        <v>45597</v>
      </c>
      <c r="L191" s="1" t="s">
        <v>20</v>
      </c>
      <c r="M191" s="1" t="s">
        <v>22</v>
      </c>
      <c r="N191" s="5">
        <v>45597</v>
      </c>
    </row>
    <row r="192" spans="1:14" x14ac:dyDescent="0.3">
      <c r="A192" s="1" t="str">
        <f>"2_1756/2129-11/2024/Р"</f>
        <v>2_1756/2129-11/2024/Р</v>
      </c>
      <c r="B192" s="6">
        <v>45597</v>
      </c>
      <c r="C192" s="1" t="str">
        <f t="shared" si="24"/>
        <v>00041</v>
      </c>
      <c r="D192" s="2" t="str">
        <f t="shared" si="25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2" s="1" t="s">
        <v>20</v>
      </c>
      <c r="F192" s="1" t="str">
        <f t="shared" si="23"/>
        <v>Центр надання адміністративних послуг Рогатинської міської ради</v>
      </c>
      <c r="G192" s="1" t="str">
        <f t="shared" si="26"/>
        <v>Юридична особа</v>
      </c>
      <c r="H192" s="1" t="str">
        <f t="shared" si="27"/>
        <v>РОГАТИНСЬКА МІСЬКА РАДА</v>
      </c>
      <c r="I192" s="1" t="str">
        <f t="shared" si="28"/>
        <v>04054323</v>
      </c>
      <c r="J192" s="1" t="str">
        <f t="shared" si="20"/>
        <v>Закрито</v>
      </c>
      <c r="K192" s="5">
        <v>45597</v>
      </c>
      <c r="L192" s="1" t="s">
        <v>20</v>
      </c>
      <c r="M192" s="1" t="s">
        <v>22</v>
      </c>
      <c r="N192" s="5">
        <v>45597</v>
      </c>
    </row>
    <row r="193" spans="1:14" x14ac:dyDescent="0.3">
      <c r="A193" s="1" t="str">
        <f>"28_620-11/2024/Г"</f>
        <v>28_620-11/2024/Г</v>
      </c>
      <c r="B193" s="6">
        <v>45597</v>
      </c>
      <c r="C193" s="1" t="str">
        <f>"33"</f>
        <v>33</v>
      </c>
      <c r="D193" s="2" t="str">
        <f>"33 Довідки різного характеру"</f>
        <v>33 Довідки різного характеру</v>
      </c>
      <c r="E193" s="1" t="s">
        <v>20</v>
      </c>
      <c r="F193" s="1" t="str">
        <f t="shared" si="23"/>
        <v>Центр надання адміністративних послуг Рогатинської міської ради</v>
      </c>
      <c r="G193" s="1" t="str">
        <f>"Фізична особа"</f>
        <v>Фізична особа</v>
      </c>
      <c r="H193" s="1" t="s">
        <v>20</v>
      </c>
      <c r="I193" s="1" t="s">
        <v>20</v>
      </c>
      <c r="J193" s="1" t="str">
        <f t="shared" si="20"/>
        <v>Закрито</v>
      </c>
      <c r="K193" s="5">
        <v>45597</v>
      </c>
      <c r="L193" s="1" t="s">
        <v>20</v>
      </c>
      <c r="M193" s="1" t="s">
        <v>22</v>
      </c>
      <c r="N193" s="5">
        <v>45597</v>
      </c>
    </row>
    <row r="194" spans="1:14" x14ac:dyDescent="0.3">
      <c r="A194" s="1" t="str">
        <f>"2_1757/2129-11/2024/Р"</f>
        <v>2_1757/2129-11/2024/Р</v>
      </c>
      <c r="B194" s="6">
        <v>45597</v>
      </c>
      <c r="C194" s="1" t="str">
        <f>"00041"</f>
        <v>00041</v>
      </c>
      <c r="D19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4" s="1" t="s">
        <v>20</v>
      </c>
      <c r="F194" s="1" t="str">
        <f t="shared" si="23"/>
        <v>Центр надання адміністративних послуг Рогатинської міської ради</v>
      </c>
      <c r="G194" s="1" t="str">
        <f>"Юридична особа"</f>
        <v>Юридична особа</v>
      </c>
      <c r="H194" s="1" t="str">
        <f>"РОГАТИНСЬКА МІСЬКА РАДА"</f>
        <v>РОГАТИНСЬКА МІСЬКА РАДА</v>
      </c>
      <c r="I194" s="1" t="str">
        <f>"04054323"</f>
        <v>04054323</v>
      </c>
      <c r="J194" s="1" t="str">
        <f t="shared" si="20"/>
        <v>Закрито</v>
      </c>
      <c r="K194" s="5">
        <v>45597</v>
      </c>
      <c r="L194" s="1" t="s">
        <v>20</v>
      </c>
      <c r="M194" s="1" t="s">
        <v>22</v>
      </c>
      <c r="N194" s="5">
        <v>45597</v>
      </c>
    </row>
    <row r="195" spans="1:14" x14ac:dyDescent="0.3">
      <c r="A195" s="1" t="str">
        <f>"26_349-11/2024/Г"</f>
        <v>26_349-11/2024/Г</v>
      </c>
      <c r="B195" s="6">
        <v>45597</v>
      </c>
      <c r="C195" s="1" t="str">
        <f>"00155"</f>
        <v>00155</v>
      </c>
      <c r="D195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95" s="1" t="str">
        <f>"03193413"</f>
        <v>03193413</v>
      </c>
      <c r="F19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95" s="1" t="str">
        <f>"Фізична особа"</f>
        <v>Фізична особа</v>
      </c>
      <c r="H195" s="1" t="s">
        <v>20</v>
      </c>
      <c r="I195" s="1" t="s">
        <v>20</v>
      </c>
      <c r="J195" s="1" t="str">
        <f>"На обробці в СНАП"</f>
        <v>На обробці в СНАП</v>
      </c>
      <c r="K195" s="5">
        <v>45597</v>
      </c>
      <c r="L195" s="1" t="s">
        <v>20</v>
      </c>
      <c r="M195" s="1" t="s">
        <v>22</v>
      </c>
      <c r="N195" s="5">
        <v>45597</v>
      </c>
    </row>
    <row r="196" spans="1:14" x14ac:dyDescent="0.3">
      <c r="A196" s="1" t="str">
        <f>"2_1758/2129-11/2024/Р"</f>
        <v>2_1758/2129-11/2024/Р</v>
      </c>
      <c r="B196" s="6">
        <v>45597</v>
      </c>
      <c r="C196" s="1" t="str">
        <f>"00041"</f>
        <v>00041</v>
      </c>
      <c r="D19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6" s="1" t="s">
        <v>20</v>
      </c>
      <c r="F19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6" s="1" t="str">
        <f>"Юридична особа"</f>
        <v>Юридична особа</v>
      </c>
      <c r="H196" s="1" t="str">
        <f>"РОГАТИНСЬКА МІСЬКА РАДА"</f>
        <v>РОГАТИНСЬКА МІСЬКА РАДА</v>
      </c>
      <c r="I196" s="1" t="str">
        <f>"04054323"</f>
        <v>04054323</v>
      </c>
      <c r="J196" s="1" t="str">
        <f t="shared" ref="J196:J207" si="29">"Закрито"</f>
        <v>Закрито</v>
      </c>
      <c r="K196" s="5">
        <v>45597</v>
      </c>
      <c r="L196" s="1" t="s">
        <v>20</v>
      </c>
      <c r="M196" s="1" t="s">
        <v>22</v>
      </c>
      <c r="N196" s="5">
        <v>45597</v>
      </c>
    </row>
    <row r="197" spans="1:14" x14ac:dyDescent="0.3">
      <c r="A197" s="1" t="str">
        <f>"2_1759/2129-11/2024/Р"</f>
        <v>2_1759/2129-11/2024/Р</v>
      </c>
      <c r="B197" s="6">
        <v>45597</v>
      </c>
      <c r="C197" s="1" t="str">
        <f>"00041"</f>
        <v>00041</v>
      </c>
      <c r="D19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7" s="1" t="s">
        <v>20</v>
      </c>
      <c r="F19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7" s="1" t="str">
        <f>"Юридична особа"</f>
        <v>Юридична особа</v>
      </c>
      <c r="H197" s="1" t="str">
        <f>"РОГАТИНСЬКА МІСЬКА РАДА"</f>
        <v>РОГАТИНСЬКА МІСЬКА РАДА</v>
      </c>
      <c r="I197" s="1" t="str">
        <f>"04054323"</f>
        <v>04054323</v>
      </c>
      <c r="J197" s="1" t="str">
        <f t="shared" si="29"/>
        <v>Закрито</v>
      </c>
      <c r="K197" s="5">
        <v>45597</v>
      </c>
      <c r="L197" s="1" t="s">
        <v>20</v>
      </c>
      <c r="M197" s="1" t="s">
        <v>22</v>
      </c>
      <c r="N197" s="5">
        <v>45597</v>
      </c>
    </row>
    <row r="198" spans="1:14" x14ac:dyDescent="0.3">
      <c r="A198" s="1" t="str">
        <f>"2_1760/2129-11/2024/Р"</f>
        <v>2_1760/2129-11/2024/Р</v>
      </c>
      <c r="B198" s="6">
        <v>45597</v>
      </c>
      <c r="C198" s="1" t="str">
        <f>"00041"</f>
        <v>00041</v>
      </c>
      <c r="D19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98" s="1" t="s">
        <v>20</v>
      </c>
      <c r="F19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8" s="1" t="str">
        <f>"Юридична особа"</f>
        <v>Юридична особа</v>
      </c>
      <c r="H198" s="1" t="str">
        <f>"РОГАТИНСЬКА МІСЬКА РАДА"</f>
        <v>РОГАТИНСЬКА МІСЬКА РАДА</v>
      </c>
      <c r="I198" s="1" t="str">
        <f>"04054323"</f>
        <v>04054323</v>
      </c>
      <c r="J198" s="1" t="str">
        <f t="shared" si="29"/>
        <v>Закрито</v>
      </c>
      <c r="K198" s="5">
        <v>45597</v>
      </c>
      <c r="L198" s="1" t="s">
        <v>20</v>
      </c>
      <c r="M198" s="1" t="s">
        <v>22</v>
      </c>
      <c r="N198" s="5">
        <v>45597</v>
      </c>
    </row>
    <row r="199" spans="1:14" x14ac:dyDescent="0.3">
      <c r="A199" s="1" t="str">
        <f>"1_5617/2129-11/2024/М"</f>
        <v>1_5617/2129-11/2024/М</v>
      </c>
      <c r="B199" s="6">
        <v>45597</v>
      </c>
      <c r="C199" s="1" t="str">
        <f>"00038"</f>
        <v>00038</v>
      </c>
      <c r="D19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9" s="1" t="s">
        <v>20</v>
      </c>
      <c r="F19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9" s="1" t="str">
        <f t="shared" ref="G199:G206" si="30">"Фізична особа"</f>
        <v>Фізична особа</v>
      </c>
      <c r="H199" s="1" t="s">
        <v>20</v>
      </c>
      <c r="I199" s="1" t="s">
        <v>20</v>
      </c>
      <c r="J199" s="1" t="str">
        <f t="shared" si="29"/>
        <v>Закрито</v>
      </c>
      <c r="K199" s="8">
        <v>45597</v>
      </c>
      <c r="L199" s="1" t="s">
        <v>20</v>
      </c>
      <c r="M199" s="1" t="s">
        <v>22</v>
      </c>
      <c r="N199" s="5">
        <v>45597</v>
      </c>
    </row>
    <row r="200" spans="1:14" x14ac:dyDescent="0.3">
      <c r="A200" s="1" t="str">
        <f>"3_812-11/2024/Л"</f>
        <v>3_812-11/2024/Л</v>
      </c>
      <c r="B200" s="6">
        <v>45597</v>
      </c>
      <c r="C200" s="1" t="str">
        <f>"00038"</f>
        <v>00038</v>
      </c>
      <c r="D20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0" s="1" t="s">
        <v>20</v>
      </c>
      <c r="F20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0" s="1" t="str">
        <f t="shared" si="30"/>
        <v>Фізична особа</v>
      </c>
      <c r="H200" s="1" t="s">
        <v>20</v>
      </c>
      <c r="I200" s="1" t="s">
        <v>20</v>
      </c>
      <c r="J200" s="1" t="str">
        <f t="shared" si="29"/>
        <v>Закрито</v>
      </c>
      <c r="K200" s="5">
        <v>45597</v>
      </c>
      <c r="L200" s="1" t="s">
        <v>20</v>
      </c>
      <c r="M200" s="1" t="s">
        <v>22</v>
      </c>
      <c r="N200" s="5">
        <v>45597</v>
      </c>
    </row>
    <row r="201" spans="1:14" x14ac:dyDescent="0.3">
      <c r="A201" s="1" t="str">
        <f>"3_813-11/2024/Л"</f>
        <v>3_813-11/2024/Л</v>
      </c>
      <c r="B201" s="6">
        <v>45597</v>
      </c>
      <c r="C201" s="1" t="str">
        <f>"01227"</f>
        <v>01227</v>
      </c>
      <c r="D201" s="2" t="str">
        <f>"Видача грошової компенсації вартості одноразової натуральної допомоги ""пакунок малюка"""</f>
        <v>Видача грошової компенсації вартості одноразової натуральної допомоги "пакунок малюка"</v>
      </c>
      <c r="E201" s="1" t="str">
        <f>"03193413"</f>
        <v>03193413</v>
      </c>
      <c r="F20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1" s="1" t="str">
        <f t="shared" si="30"/>
        <v>Фізична особа</v>
      </c>
      <c r="H201" s="1" t="s">
        <v>20</v>
      </c>
      <c r="I201" s="1" t="s">
        <v>20</v>
      </c>
      <c r="J201" s="1" t="str">
        <f t="shared" si="29"/>
        <v>Закрито</v>
      </c>
      <c r="K201" s="5">
        <v>45610</v>
      </c>
      <c r="L201" s="1" t="s">
        <v>20</v>
      </c>
      <c r="M201" s="1" t="s">
        <v>22</v>
      </c>
      <c r="N201" s="5">
        <v>45610</v>
      </c>
    </row>
    <row r="202" spans="1:14" x14ac:dyDescent="0.3">
      <c r="A202" s="1" t="str">
        <f>"26_350-11/2024/К"</f>
        <v>26_350-11/2024/К</v>
      </c>
      <c r="B202" s="6">
        <v>45597</v>
      </c>
      <c r="C202" s="1" t="str">
        <f>"00038"</f>
        <v>00038</v>
      </c>
      <c r="D20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2" s="1" t="s">
        <v>20</v>
      </c>
      <c r="F202" s="1" t="str">
        <f t="shared" ref="F202:F207" si="3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2" s="1" t="str">
        <f t="shared" si="30"/>
        <v>Фізична особа</v>
      </c>
      <c r="H202" s="1" t="s">
        <v>20</v>
      </c>
      <c r="I202" s="1" t="s">
        <v>20</v>
      </c>
      <c r="J202" s="1" t="str">
        <f t="shared" si="29"/>
        <v>Закрито</v>
      </c>
      <c r="K202" s="5">
        <v>45597</v>
      </c>
      <c r="L202" s="1" t="s">
        <v>20</v>
      </c>
      <c r="M202" s="1" t="s">
        <v>22</v>
      </c>
      <c r="N202" s="5">
        <v>45597</v>
      </c>
    </row>
    <row r="203" spans="1:14" x14ac:dyDescent="0.3">
      <c r="A203" s="1" t="str">
        <f>"26_351-11/2024/К"</f>
        <v>26_351-11/2024/К</v>
      </c>
      <c r="B203" s="6">
        <v>45597</v>
      </c>
      <c r="C203" s="1" t="str">
        <f>"00038"</f>
        <v>00038</v>
      </c>
      <c r="D20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3" s="1" t="s">
        <v>20</v>
      </c>
      <c r="F203" s="1" t="str">
        <f t="shared" si="31"/>
        <v>Центр надання адміністративних послуг Рогатинської міської ради</v>
      </c>
      <c r="G203" s="1" t="str">
        <f t="shared" si="30"/>
        <v>Фізична особа</v>
      </c>
      <c r="H203" s="1" t="s">
        <v>20</v>
      </c>
      <c r="I203" s="1" t="s">
        <v>20</v>
      </c>
      <c r="J203" s="1" t="str">
        <f t="shared" si="29"/>
        <v>Закрито</v>
      </c>
      <c r="K203" s="5">
        <v>45597</v>
      </c>
      <c r="L203" s="1" t="s">
        <v>20</v>
      </c>
      <c r="M203" s="1" t="s">
        <v>22</v>
      </c>
      <c r="N203" s="5">
        <v>45597</v>
      </c>
    </row>
    <row r="204" spans="1:14" x14ac:dyDescent="0.3">
      <c r="A204" s="1" t="str">
        <f>"1_5618/2129-11/2024/К"</f>
        <v>1_5618/2129-11/2024/К</v>
      </c>
      <c r="B204" s="6">
        <v>45597</v>
      </c>
      <c r="C204" s="1" t="str">
        <f>"00038"</f>
        <v>00038</v>
      </c>
      <c r="D20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4" s="1" t="s">
        <v>20</v>
      </c>
      <c r="F204" s="1" t="str">
        <f t="shared" si="31"/>
        <v>Центр надання адміністративних послуг Рогатинської міської ради</v>
      </c>
      <c r="G204" s="1" t="str">
        <f t="shared" si="30"/>
        <v>Фізична особа</v>
      </c>
      <c r="H204" s="1" t="s">
        <v>20</v>
      </c>
      <c r="I204" s="1" t="s">
        <v>20</v>
      </c>
      <c r="J204" s="1" t="str">
        <f t="shared" si="29"/>
        <v>Закрито</v>
      </c>
      <c r="K204" s="8">
        <v>45597</v>
      </c>
      <c r="L204" s="1" t="s">
        <v>20</v>
      </c>
      <c r="M204" s="1" t="s">
        <v>22</v>
      </c>
      <c r="N204" s="5">
        <v>45597</v>
      </c>
    </row>
    <row r="205" spans="1:14" x14ac:dyDescent="0.3">
      <c r="A205" s="1" t="str">
        <f>"1_5619/2129-11/2024/К"</f>
        <v>1_5619/2129-11/2024/К</v>
      </c>
      <c r="B205" s="6">
        <v>45597</v>
      </c>
      <c r="C205" s="1" t="str">
        <f>"00038"</f>
        <v>00038</v>
      </c>
      <c r="D20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5" s="1" t="s">
        <v>20</v>
      </c>
      <c r="F205" s="1" t="str">
        <f t="shared" si="31"/>
        <v>Центр надання адміністративних послуг Рогатинської міської ради</v>
      </c>
      <c r="G205" s="1" t="str">
        <f t="shared" si="30"/>
        <v>Фізична особа</v>
      </c>
      <c r="H205" s="1" t="s">
        <v>20</v>
      </c>
      <c r="I205" s="1" t="s">
        <v>20</v>
      </c>
      <c r="J205" s="1" t="str">
        <f t="shared" si="29"/>
        <v>Закрито</v>
      </c>
      <c r="K205" s="8">
        <v>45597</v>
      </c>
      <c r="L205" s="1" t="s">
        <v>20</v>
      </c>
      <c r="M205" s="1" t="s">
        <v>22</v>
      </c>
      <c r="N205" s="5">
        <v>45597</v>
      </c>
    </row>
    <row r="206" spans="1:14" x14ac:dyDescent="0.3">
      <c r="A206" s="1" t="str">
        <f>"21_630-11/2024/Ч"</f>
        <v>21_630-11/2024/Ч</v>
      </c>
      <c r="B206" s="6">
        <v>45597</v>
      </c>
      <c r="C206" s="1" t="str">
        <f>"01313"</f>
        <v>01313</v>
      </c>
      <c r="D206" s="2" t="str">
        <f>"Видача довідки про підтвердження місця проживання померлого"</f>
        <v>Видача довідки про підтвердження місця проживання померлого</v>
      </c>
      <c r="E206" s="1" t="s">
        <v>20</v>
      </c>
      <c r="F206" s="1" t="str">
        <f t="shared" si="31"/>
        <v>Центр надання адміністративних послуг Рогатинської міської ради</v>
      </c>
      <c r="G206" s="1" t="str">
        <f t="shared" si="30"/>
        <v>Фізична особа</v>
      </c>
      <c r="H206" s="1" t="s">
        <v>20</v>
      </c>
      <c r="I206" s="1" t="s">
        <v>20</v>
      </c>
      <c r="J206" s="1" t="str">
        <f t="shared" si="29"/>
        <v>Закрито</v>
      </c>
      <c r="K206" s="5">
        <v>45597</v>
      </c>
      <c r="L206" s="1" t="s">
        <v>20</v>
      </c>
      <c r="M206" s="1" t="s">
        <v>22</v>
      </c>
      <c r="N206" s="5">
        <v>45597</v>
      </c>
    </row>
    <row r="207" spans="1:14" x14ac:dyDescent="0.3">
      <c r="A207" s="1" t="str">
        <f>"7_251/2129-11/2024/П"</f>
        <v>7_251/2129-11/2024/П</v>
      </c>
      <c r="B207" s="6">
        <v>45597</v>
      </c>
      <c r="C207" s="1" t="str">
        <f>"33"</f>
        <v>33</v>
      </c>
      <c r="D207" s="2" t="str">
        <f>"33 Довідки різного характеру"</f>
        <v>33 Довідки різного характеру</v>
      </c>
      <c r="E207" s="1" t="s">
        <v>20</v>
      </c>
      <c r="F207" s="1" t="str">
        <f t="shared" si="31"/>
        <v>Центр надання адміністративних послуг Рогатинської міської ради</v>
      </c>
      <c r="G207" s="1" t="str">
        <f>"Фізична особа - підприємець"</f>
        <v>Фізична особа - підприємець</v>
      </c>
      <c r="H207" s="1" t="str">
        <f>"Приватний нотаріус"</f>
        <v>Приватний нотаріус</v>
      </c>
      <c r="I207" s="1" t="s">
        <v>20</v>
      </c>
      <c r="J207" s="1" t="str">
        <f t="shared" si="29"/>
        <v>Закрито</v>
      </c>
      <c r="K207" s="5">
        <v>45597</v>
      </c>
      <c r="L207" s="1" t="s">
        <v>20</v>
      </c>
      <c r="M207" s="1" t="s">
        <v>22</v>
      </c>
      <c r="N207" s="5">
        <v>45597</v>
      </c>
    </row>
    <row r="208" spans="1:14" x14ac:dyDescent="0.3">
      <c r="A208" s="1" t="str">
        <f>"9_545-11/2024/Б"</f>
        <v>9_545-11/2024/Б</v>
      </c>
      <c r="B208" s="6">
        <v>45597</v>
      </c>
      <c r="C208" s="1" t="str">
        <f>"00155"</f>
        <v>00155</v>
      </c>
      <c r="D208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08" s="1" t="str">
        <f>"03193413"</f>
        <v>03193413</v>
      </c>
      <c r="F20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8" s="1" t="str">
        <f>"Фізична особа"</f>
        <v>Фізична особа</v>
      </c>
      <c r="H208" s="1" t="s">
        <v>20</v>
      </c>
      <c r="I208" s="1" t="s">
        <v>20</v>
      </c>
      <c r="J208" s="1" t="str">
        <f>"Заявника сповіщено про результат"</f>
        <v>Заявника сповіщено про результат</v>
      </c>
      <c r="K208" s="5">
        <v>45653</v>
      </c>
      <c r="L208" s="1" t="s">
        <v>20</v>
      </c>
      <c r="M208" s="1" t="s">
        <v>22</v>
      </c>
      <c r="N208" s="5">
        <v>45653</v>
      </c>
    </row>
    <row r="209" spans="1:14" x14ac:dyDescent="0.3">
      <c r="A209" s="1" t="str">
        <f>"30_592-11/2024/Б"</f>
        <v>30_592-11/2024/Б</v>
      </c>
      <c r="B209" s="6">
        <v>45597</v>
      </c>
      <c r="C209" s="1" t="str">
        <f>"33"</f>
        <v>33</v>
      </c>
      <c r="D209" s="2" t="str">
        <f>"33 Довідки різного характеру"</f>
        <v>33 Довідки різного характеру</v>
      </c>
      <c r="E209" s="1" t="s">
        <v>20</v>
      </c>
      <c r="F20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9" s="1" t="str">
        <f>"Фізична особа"</f>
        <v>Фізична особа</v>
      </c>
      <c r="H209" s="1" t="s">
        <v>20</v>
      </c>
      <c r="I209" s="1" t="s">
        <v>20</v>
      </c>
      <c r="J209" s="1" t="str">
        <f>"Закрито"</f>
        <v>Закрито</v>
      </c>
      <c r="K209" s="5">
        <v>45597</v>
      </c>
      <c r="L209" s="1" t="s">
        <v>20</v>
      </c>
      <c r="M209" s="1" t="s">
        <v>22</v>
      </c>
      <c r="N209" s="5">
        <v>45597</v>
      </c>
    </row>
    <row r="210" spans="1:14" x14ac:dyDescent="0.3">
      <c r="A210" s="1" t="str">
        <f>"4_900-11/2024/Б"</f>
        <v>4_900-11/2024/Б</v>
      </c>
      <c r="B210" s="6">
        <v>45597</v>
      </c>
      <c r="C210" s="1" t="str">
        <f>"01296"</f>
        <v>01296</v>
      </c>
      <c r="D210" s="2" t="str">
        <f>"Видача довідки про проживання без реєстрації"</f>
        <v>Видача довідки про проживання без реєстрації</v>
      </c>
      <c r="E210" s="1" t="s">
        <v>20</v>
      </c>
      <c r="F21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0" s="1" t="str">
        <f>"Фізична особа"</f>
        <v>Фізична особа</v>
      </c>
      <c r="H210" s="1" t="s">
        <v>20</v>
      </c>
      <c r="I210" s="1" t="s">
        <v>20</v>
      </c>
      <c r="J210" s="1" t="str">
        <f>"Закрито"</f>
        <v>Закрито</v>
      </c>
      <c r="K210" s="5">
        <v>45597</v>
      </c>
      <c r="L210" s="1" t="s">
        <v>20</v>
      </c>
      <c r="M210" s="1" t="s">
        <v>22</v>
      </c>
      <c r="N210" s="5">
        <v>45597</v>
      </c>
    </row>
    <row r="211" spans="1:14" x14ac:dyDescent="0.3">
      <c r="A211" s="1" t="str">
        <f>"9_546-11/2024/П"</f>
        <v>9_546-11/2024/П</v>
      </c>
      <c r="B211" s="6">
        <v>45597</v>
      </c>
      <c r="C211" s="1" t="str">
        <f>"01495"</f>
        <v>01495</v>
      </c>
      <c r="D211" s="2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211" s="1" t="s">
        <v>20</v>
      </c>
      <c r="F21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1" s="1" t="str">
        <f>"Юридична особа"</f>
        <v>Юридична особа</v>
      </c>
      <c r="H211" s="1" t="str">
        <f>"Приватний нотаріус О.Клід"</f>
        <v>Приватний нотаріус О.Клід</v>
      </c>
      <c r="I211" s="1" t="s">
        <v>20</v>
      </c>
      <c r="J211" s="1" t="str">
        <f>"Закрито"</f>
        <v>Закрито</v>
      </c>
      <c r="K211" s="5">
        <v>45597</v>
      </c>
      <c r="L211" s="1" t="s">
        <v>20</v>
      </c>
      <c r="M211" s="1" t="s">
        <v>22</v>
      </c>
      <c r="N211" s="5">
        <v>45597</v>
      </c>
    </row>
    <row r="212" spans="1:14" x14ac:dyDescent="0.3">
      <c r="A212" s="1" t="str">
        <f>"24_324-11/2024/З"</f>
        <v>24_324-11/2024/З</v>
      </c>
      <c r="B212" s="6">
        <v>45597</v>
      </c>
      <c r="C212" s="1" t="str">
        <f>"00133"</f>
        <v>00133</v>
      </c>
      <c r="D212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12" s="1" t="str">
        <f>"03193413"</f>
        <v>03193413</v>
      </c>
      <c r="F21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12" s="1" t="str">
        <f>"Фізична особа"</f>
        <v>Фізична особа</v>
      </c>
      <c r="H212" s="1" t="s">
        <v>20</v>
      </c>
      <c r="I212" s="1" t="s">
        <v>20</v>
      </c>
      <c r="J212" s="1" t="str">
        <f>"Закрито"</f>
        <v>Закрито</v>
      </c>
      <c r="K212" s="5">
        <v>45604</v>
      </c>
      <c r="L212" s="1" t="s">
        <v>20</v>
      </c>
      <c r="M212" s="1" t="s">
        <v>22</v>
      </c>
      <c r="N212" s="5">
        <v>45604</v>
      </c>
    </row>
    <row r="213" spans="1:14" x14ac:dyDescent="0.3">
      <c r="A213" s="1" t="str">
        <f>"8_512-11/2024/М"</f>
        <v>8_512-11/2024/М</v>
      </c>
      <c r="B213" s="6">
        <v>45600</v>
      </c>
      <c r="C213" s="1" t="str">
        <f>"00133"</f>
        <v>00133</v>
      </c>
      <c r="D213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13" s="1" t="str">
        <f>"03193413"</f>
        <v>03193413</v>
      </c>
      <c r="F21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13" s="1" t="str">
        <f>"Фізична особа"</f>
        <v>Фізична особа</v>
      </c>
      <c r="H213" s="1" t="s">
        <v>20</v>
      </c>
      <c r="I213" s="1" t="s">
        <v>20</v>
      </c>
      <c r="J213" s="1" t="str">
        <f>"Закрито"</f>
        <v>Закрито</v>
      </c>
      <c r="K213" s="5">
        <v>45603</v>
      </c>
      <c r="L213" s="1" t="s">
        <v>20</v>
      </c>
      <c r="M213" s="1" t="s">
        <v>22</v>
      </c>
      <c r="N213" s="5">
        <v>45603</v>
      </c>
    </row>
    <row r="214" spans="1:14" x14ac:dyDescent="0.3">
      <c r="A214" s="1" t="str">
        <f>"3_1326/4-11/2024/У"</f>
        <v>3_1326/4-11/2024/У</v>
      </c>
      <c r="B214" s="6">
        <v>45600</v>
      </c>
      <c r="C214" s="1" t="str">
        <f>"00060"</f>
        <v>00060</v>
      </c>
      <c r="D214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4" s="1" t="s">
        <v>20</v>
      </c>
      <c r="F214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14" s="1" t="str">
        <f>"Фізична особа"</f>
        <v>Фізична особа</v>
      </c>
      <c r="H214" s="1" t="s">
        <v>20</v>
      </c>
      <c r="I214" s="1" t="s">
        <v>20</v>
      </c>
      <c r="J214" s="1" t="str">
        <f>"Результат підготовлено СНАП"</f>
        <v>Результат підготовлено СНАП</v>
      </c>
      <c r="K214" s="5">
        <v>45614</v>
      </c>
      <c r="L214" s="1" t="str">
        <f>"151.4"</f>
        <v>151.4</v>
      </c>
      <c r="M214" s="1" t="s">
        <v>22</v>
      </c>
      <c r="N214" s="1" t="s">
        <v>20</v>
      </c>
    </row>
    <row r="215" spans="1:14" x14ac:dyDescent="0.3">
      <c r="A215" s="1" t="str">
        <f>"2_1761/2129-11/2024/Ф"</f>
        <v>2_1761/2129-11/2024/Ф</v>
      </c>
      <c r="B215" s="6">
        <v>45600</v>
      </c>
      <c r="C215" s="1" t="str">
        <f>"00042"</f>
        <v>00042</v>
      </c>
      <c r="D215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15" s="1" t="s">
        <v>20</v>
      </c>
      <c r="F21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5" s="1" t="str">
        <f>"Юридична особа"</f>
        <v>Юридична особа</v>
      </c>
      <c r="H215" s="1" t="str">
        <f>"Фермерське господарство ""МИХАЙЛИШИН"""</f>
        <v>Фермерське господарство "МИХАЙЛИШИН"</v>
      </c>
      <c r="I215" s="1" t="str">
        <f>"42656690"</f>
        <v>42656690</v>
      </c>
      <c r="J215" s="1" t="str">
        <f t="shared" ref="J215:J237" si="32">"Закрито"</f>
        <v>Закрито</v>
      </c>
      <c r="K215" s="5">
        <v>45600</v>
      </c>
      <c r="L215" s="1" t="s">
        <v>20</v>
      </c>
      <c r="M215" s="1" t="s">
        <v>22</v>
      </c>
      <c r="N215" s="5">
        <v>45600</v>
      </c>
    </row>
    <row r="216" spans="1:14" x14ac:dyDescent="0.3">
      <c r="A216" s="1" t="str">
        <f>"3_814-11/2024/Л"</f>
        <v>3_814-11/2024/Л</v>
      </c>
      <c r="B216" s="6">
        <v>45600</v>
      </c>
      <c r="C216" s="1" t="str">
        <f>"00144"</f>
        <v>00144</v>
      </c>
      <c r="D216" s="2" t="str">
        <f>"Призначення державної допомоги при народженні дитини"</f>
        <v>Призначення державної допомоги при народженні дитини</v>
      </c>
      <c r="E216" s="1" t="str">
        <f>"03193413"</f>
        <v>03193413</v>
      </c>
      <c r="F21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16" s="1" t="str">
        <f>"Фізична особа"</f>
        <v>Фізична особа</v>
      </c>
      <c r="H216" s="1" t="s">
        <v>20</v>
      </c>
      <c r="I216" s="1" t="s">
        <v>20</v>
      </c>
      <c r="J216" s="1" t="str">
        <f t="shared" si="32"/>
        <v>Закрито</v>
      </c>
      <c r="K216" s="5">
        <v>45611</v>
      </c>
      <c r="L216" s="1" t="s">
        <v>20</v>
      </c>
      <c r="M216" s="1" t="s">
        <v>22</v>
      </c>
      <c r="N216" s="5">
        <v>45611</v>
      </c>
    </row>
    <row r="217" spans="1:14" x14ac:dyDescent="0.3">
      <c r="A217" s="1" t="str">
        <f>"2_1762/2129-11/2024/ф"</f>
        <v>2_1762/2129-11/2024/ф</v>
      </c>
      <c r="B217" s="6">
        <v>45600</v>
      </c>
      <c r="C217" s="1" t="str">
        <f>"00042"</f>
        <v>00042</v>
      </c>
      <c r="D217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17" s="1" t="s">
        <v>20</v>
      </c>
      <c r="F21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7" s="1" t="str">
        <f>"Юридична особа"</f>
        <v>Юридична особа</v>
      </c>
      <c r="H217" s="1" t="str">
        <f>"фермерське господарство "" МИХАЙЛИШИН"""</f>
        <v>фермерське господарство " МИХАЙЛИШИН"</v>
      </c>
      <c r="I217" s="1" t="str">
        <f>"42656690"</f>
        <v>42656690</v>
      </c>
      <c r="J217" s="1" t="str">
        <f t="shared" si="32"/>
        <v>Закрито</v>
      </c>
      <c r="K217" s="5">
        <v>45600</v>
      </c>
      <c r="L217" s="1" t="s">
        <v>20</v>
      </c>
      <c r="M217" s="1" t="s">
        <v>22</v>
      </c>
      <c r="N217" s="5">
        <v>45600</v>
      </c>
    </row>
    <row r="218" spans="1:14" x14ac:dyDescent="0.3">
      <c r="A218" s="1" t="str">
        <f>"2_1763/2129-11/2024/Ф"</f>
        <v>2_1763/2129-11/2024/Ф</v>
      </c>
      <c r="B218" s="6">
        <v>45600</v>
      </c>
      <c r="C218" s="1" t="str">
        <f>"00042"</f>
        <v>00042</v>
      </c>
      <c r="D218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18" s="1" t="s">
        <v>20</v>
      </c>
      <c r="F2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8" s="1" t="str">
        <f>"Юридична особа"</f>
        <v>Юридична особа</v>
      </c>
      <c r="H218" s="1" t="str">
        <f>"Фермерське господарство ""МИХАЙЛИШИН"""</f>
        <v>Фермерське господарство "МИХАЙЛИШИН"</v>
      </c>
      <c r="I218" s="1" t="str">
        <f>"42656690"</f>
        <v>42656690</v>
      </c>
      <c r="J218" s="1" t="str">
        <f t="shared" si="32"/>
        <v>Закрито</v>
      </c>
      <c r="K218" s="5">
        <v>45600</v>
      </c>
      <c r="L218" s="1" t="s">
        <v>20</v>
      </c>
      <c r="M218" s="1" t="s">
        <v>22</v>
      </c>
      <c r="N218" s="5">
        <v>45600</v>
      </c>
    </row>
    <row r="219" spans="1:14" x14ac:dyDescent="0.3">
      <c r="A219" s="1" t="str">
        <f>"2_1764/2129-11/2024/Ф"</f>
        <v>2_1764/2129-11/2024/Ф</v>
      </c>
      <c r="B219" s="6">
        <v>45600</v>
      </c>
      <c r="C219" s="1" t="str">
        <f>"00042"</f>
        <v>00042</v>
      </c>
      <c r="D219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19" s="1" t="s">
        <v>20</v>
      </c>
      <c r="F21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9" s="1" t="str">
        <f>"Юридична особа"</f>
        <v>Юридична особа</v>
      </c>
      <c r="H219" s="1" t="str">
        <f>"Фермерське господарство ""МИХАЙЛИШИН"""</f>
        <v>Фермерське господарство "МИХАЙЛИШИН"</v>
      </c>
      <c r="I219" s="1" t="str">
        <f>"42656690"</f>
        <v>42656690</v>
      </c>
      <c r="J219" s="1" t="str">
        <f t="shared" si="32"/>
        <v>Закрито</v>
      </c>
      <c r="K219" s="5">
        <v>45600</v>
      </c>
      <c r="L219" s="1" t="s">
        <v>20</v>
      </c>
      <c r="M219" s="1" t="s">
        <v>22</v>
      </c>
      <c r="N219" s="5">
        <v>45600</v>
      </c>
    </row>
    <row r="220" spans="1:14" x14ac:dyDescent="0.3">
      <c r="A220" s="1" t="str">
        <f>"2_1765/2129-11/2024/Ф"</f>
        <v>2_1765/2129-11/2024/Ф</v>
      </c>
      <c r="B220" s="6">
        <v>45600</v>
      </c>
      <c r="C220" s="1" t="str">
        <f>"00042"</f>
        <v>00042</v>
      </c>
      <c r="D220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20" s="1" t="s">
        <v>20</v>
      </c>
      <c r="F22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0" s="1" t="str">
        <f>"Юридична особа"</f>
        <v>Юридична особа</v>
      </c>
      <c r="H220" s="1" t="str">
        <f>"Фермерське господарство ""МИХАЙЛИШИН"""</f>
        <v>Фермерське господарство "МИХАЙЛИШИН"</v>
      </c>
      <c r="I220" s="1" t="str">
        <f>"42656690"</f>
        <v>42656690</v>
      </c>
      <c r="J220" s="1" t="str">
        <f t="shared" si="32"/>
        <v>Закрито</v>
      </c>
      <c r="K220" s="5">
        <v>45600</v>
      </c>
      <c r="L220" s="1" t="s">
        <v>20</v>
      </c>
      <c r="M220" s="1" t="s">
        <v>22</v>
      </c>
      <c r="N220" s="5">
        <v>45600</v>
      </c>
    </row>
    <row r="221" spans="1:14" x14ac:dyDescent="0.3">
      <c r="A221" s="1" t="str">
        <f>"8_513-11/2024/Т"</f>
        <v>8_513-11/2024/Т</v>
      </c>
      <c r="B221" s="6">
        <v>45600</v>
      </c>
      <c r="C221" s="1" t="str">
        <f>"00133"</f>
        <v>00133</v>
      </c>
      <c r="D221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21" s="1" t="str">
        <f>"03193413"</f>
        <v>03193413</v>
      </c>
      <c r="F22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21" s="1" t="str">
        <f t="shared" ref="G221:G226" si="33">"Фізична особа"</f>
        <v>Фізична особа</v>
      </c>
      <c r="H221" s="1" t="s">
        <v>20</v>
      </c>
      <c r="I221" s="1" t="s">
        <v>20</v>
      </c>
      <c r="J221" s="1" t="str">
        <f t="shared" si="32"/>
        <v>Закрито</v>
      </c>
      <c r="K221" s="5">
        <v>45603</v>
      </c>
      <c r="L221" s="1" t="s">
        <v>20</v>
      </c>
      <c r="M221" s="1" t="s">
        <v>22</v>
      </c>
      <c r="N221" s="5">
        <v>45603</v>
      </c>
    </row>
    <row r="222" spans="1:14" x14ac:dyDescent="0.3">
      <c r="A222" s="1" t="str">
        <f>"2_1766/2129-11/2024/Ц"</f>
        <v>2_1766/2129-11/2024/Ц</v>
      </c>
      <c r="B222" s="6">
        <v>45600</v>
      </c>
      <c r="C222" s="1" t="str">
        <f>"00041"</f>
        <v>00041</v>
      </c>
      <c r="D22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2" s="1" t="s">
        <v>20</v>
      </c>
      <c r="F222" s="1" t="str">
        <f t="shared" ref="F222:F237" si="34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2" s="1" t="str">
        <f t="shared" si="33"/>
        <v>Фізична особа</v>
      </c>
      <c r="H222" s="1" t="s">
        <v>20</v>
      </c>
      <c r="I222" s="1" t="s">
        <v>20</v>
      </c>
      <c r="J222" s="1" t="str">
        <f t="shared" si="32"/>
        <v>Закрито</v>
      </c>
      <c r="K222" s="5">
        <v>45600</v>
      </c>
      <c r="L222" s="1" t="s">
        <v>20</v>
      </c>
      <c r="M222" s="1" t="s">
        <v>22</v>
      </c>
      <c r="N222" s="5">
        <v>45600</v>
      </c>
    </row>
    <row r="223" spans="1:14" x14ac:dyDescent="0.3">
      <c r="A223" s="1" t="str">
        <f>"2_1767/2129-11/2024/Л"</f>
        <v>2_1767/2129-11/2024/Л</v>
      </c>
      <c r="B223" s="6">
        <v>45600</v>
      </c>
      <c r="C223" s="1" t="str">
        <f>"00041"</f>
        <v>00041</v>
      </c>
      <c r="D223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3" s="1" t="s">
        <v>20</v>
      </c>
      <c r="F223" s="1" t="str">
        <f t="shared" si="34"/>
        <v>Центр надання адміністративних послуг Рогатинської міської ради</v>
      </c>
      <c r="G223" s="1" t="str">
        <f t="shared" si="33"/>
        <v>Фізична особа</v>
      </c>
      <c r="H223" s="1" t="s">
        <v>20</v>
      </c>
      <c r="I223" s="1" t="s">
        <v>20</v>
      </c>
      <c r="J223" s="1" t="str">
        <f t="shared" si="32"/>
        <v>Закрито</v>
      </c>
      <c r="K223" s="5">
        <v>45600</v>
      </c>
      <c r="L223" s="1" t="s">
        <v>20</v>
      </c>
      <c r="M223" s="1" t="s">
        <v>22</v>
      </c>
      <c r="N223" s="5">
        <v>45600</v>
      </c>
    </row>
    <row r="224" spans="1:14" x14ac:dyDescent="0.3">
      <c r="A224" s="1" t="str">
        <f>"2_1768/2129-11/2024/В"</f>
        <v>2_1768/2129-11/2024/В</v>
      </c>
      <c r="B224" s="6">
        <v>45600</v>
      </c>
      <c r="C224" s="1" t="str">
        <f>"00041"</f>
        <v>00041</v>
      </c>
      <c r="D22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4" s="1" t="s">
        <v>20</v>
      </c>
      <c r="F224" s="1" t="str">
        <f t="shared" si="34"/>
        <v>Центр надання адміністративних послуг Рогатинської міської ради</v>
      </c>
      <c r="G224" s="1" t="str">
        <f t="shared" si="33"/>
        <v>Фізична особа</v>
      </c>
      <c r="H224" s="1" t="s">
        <v>20</v>
      </c>
      <c r="I224" s="1" t="s">
        <v>20</v>
      </c>
      <c r="J224" s="1" t="str">
        <f t="shared" si="32"/>
        <v>Закрито</v>
      </c>
      <c r="K224" s="5">
        <v>45600</v>
      </c>
      <c r="L224" s="1" t="s">
        <v>20</v>
      </c>
      <c r="M224" s="1" t="s">
        <v>22</v>
      </c>
      <c r="N224" s="5">
        <v>45600</v>
      </c>
    </row>
    <row r="225" spans="1:14" x14ac:dyDescent="0.3">
      <c r="A225" s="1" t="str">
        <f>"2_1769/2129-11/2024/В"</f>
        <v>2_1769/2129-11/2024/В</v>
      </c>
      <c r="B225" s="6">
        <v>45600</v>
      </c>
      <c r="C225" s="1" t="str">
        <f>"00041"</f>
        <v>00041</v>
      </c>
      <c r="D22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25" s="1" t="s">
        <v>20</v>
      </c>
      <c r="F225" s="1" t="str">
        <f t="shared" si="34"/>
        <v>Центр надання адміністративних послуг Рогатинської міської ради</v>
      </c>
      <c r="G225" s="1" t="str">
        <f t="shared" si="33"/>
        <v>Фізична особа</v>
      </c>
      <c r="H225" s="1" t="s">
        <v>20</v>
      </c>
      <c r="I225" s="1" t="s">
        <v>20</v>
      </c>
      <c r="J225" s="1" t="str">
        <f t="shared" si="32"/>
        <v>Закрито</v>
      </c>
      <c r="K225" s="5">
        <v>45600</v>
      </c>
      <c r="L225" s="1" t="s">
        <v>20</v>
      </c>
      <c r="M225" s="1" t="s">
        <v>22</v>
      </c>
      <c r="N225" s="5">
        <v>45600</v>
      </c>
    </row>
    <row r="226" spans="1:14" x14ac:dyDescent="0.3">
      <c r="A226" s="1" t="str">
        <f>"2_1770/2129-11/2024/Б"</f>
        <v>2_1770/2129-11/2024/Б</v>
      </c>
      <c r="B226" s="6">
        <v>45600</v>
      </c>
      <c r="C226" s="1" t="str">
        <f>"00042"</f>
        <v>00042</v>
      </c>
      <c r="D226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26" s="1" t="s">
        <v>20</v>
      </c>
      <c r="F226" s="1" t="str">
        <f t="shared" si="34"/>
        <v>Центр надання адміністративних послуг Рогатинської міської ради</v>
      </c>
      <c r="G226" s="1" t="str">
        <f t="shared" si="33"/>
        <v>Фізична особа</v>
      </c>
      <c r="H226" s="1" t="s">
        <v>20</v>
      </c>
      <c r="I226" s="1" t="s">
        <v>20</v>
      </c>
      <c r="J226" s="1" t="str">
        <f t="shared" si="32"/>
        <v>Закрито</v>
      </c>
      <c r="K226" s="5">
        <v>45600</v>
      </c>
      <c r="L226" s="1" t="str">
        <f>"150.0"</f>
        <v>150.0</v>
      </c>
      <c r="M226" s="1" t="s">
        <v>22</v>
      </c>
      <c r="N226" s="5">
        <v>45600</v>
      </c>
    </row>
    <row r="227" spans="1:14" x14ac:dyDescent="0.3">
      <c r="A227" s="1" t="str">
        <f>"2_1771/2129-11/2024/С"</f>
        <v>2_1771/2129-11/2024/С</v>
      </c>
      <c r="B227" s="6">
        <v>45600</v>
      </c>
      <c r="C227" s="1" t="str">
        <f>"00042"</f>
        <v>00042</v>
      </c>
      <c r="D227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27" s="1" t="s">
        <v>20</v>
      </c>
      <c r="F227" s="1" t="str">
        <f t="shared" si="34"/>
        <v>Центр надання адміністративних послуг Рогатинської міської ради</v>
      </c>
      <c r="G227" s="1" t="str">
        <f>"Юридична особа"</f>
        <v>Юридична особа</v>
      </c>
      <c r="H227" s="1" t="str">
        <f>"СФГ ""Багрія Андрія Михайловича"""</f>
        <v>СФГ "Багрія Андрія Михайловича"</v>
      </c>
      <c r="I227" s="1" t="str">
        <f>"25067028"</f>
        <v>25067028</v>
      </c>
      <c r="J227" s="1" t="str">
        <f t="shared" si="32"/>
        <v>Закрито</v>
      </c>
      <c r="K227" s="5">
        <v>45600</v>
      </c>
      <c r="L227" s="1" t="s">
        <v>20</v>
      </c>
      <c r="M227" s="1" t="s">
        <v>22</v>
      </c>
      <c r="N227" s="5">
        <v>45600</v>
      </c>
    </row>
    <row r="228" spans="1:14" x14ac:dyDescent="0.3">
      <c r="A228" s="1" t="str">
        <f>"2_1772/2129-11/2024/Ф"</f>
        <v>2_1772/2129-11/2024/Ф</v>
      </c>
      <c r="B228" s="6">
        <v>45600</v>
      </c>
      <c r="C228" s="1" t="str">
        <f>"00042"</f>
        <v>00042</v>
      </c>
      <c r="D228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28" s="1" t="s">
        <v>20</v>
      </c>
      <c r="F228" s="1" t="str">
        <f t="shared" si="34"/>
        <v>Центр надання адміністративних послуг Рогатинської міської ради</v>
      </c>
      <c r="G228" s="1" t="str">
        <f>"Юридична особа"</f>
        <v>Юридична особа</v>
      </c>
      <c r="H228" s="1" t="str">
        <f>"ФГ"" Віталія Дзери"""</f>
        <v>ФГ" Віталія Дзери"</v>
      </c>
      <c r="I228" s="1" t="str">
        <f>"44833181"</f>
        <v>44833181</v>
      </c>
      <c r="J228" s="1" t="str">
        <f t="shared" si="32"/>
        <v>Закрито</v>
      </c>
      <c r="K228" s="5">
        <v>45600</v>
      </c>
      <c r="L228" s="1" t="str">
        <f>"150.0"</f>
        <v>150.0</v>
      </c>
      <c r="M228" s="1" t="s">
        <v>22</v>
      </c>
      <c r="N228" s="5">
        <v>45600</v>
      </c>
    </row>
    <row r="229" spans="1:14" x14ac:dyDescent="0.3">
      <c r="A229" s="1" t="str">
        <f>"2_1773/2129-11/2024/Ф"</f>
        <v>2_1773/2129-11/2024/Ф</v>
      </c>
      <c r="B229" s="6">
        <v>45600</v>
      </c>
      <c r="C229" s="1" t="str">
        <f>"00042"</f>
        <v>00042</v>
      </c>
      <c r="D229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29" s="1" t="s">
        <v>20</v>
      </c>
      <c r="F229" s="1" t="str">
        <f t="shared" si="34"/>
        <v>Центр надання адміністративних послуг Рогатинської міської ради</v>
      </c>
      <c r="G229" s="1" t="str">
        <f>"Юридична особа"</f>
        <v>Юридична особа</v>
      </c>
      <c r="H229" s="1" t="str">
        <f>"ФГ""Віталія Дзери"""</f>
        <v>ФГ"Віталія Дзери"</v>
      </c>
      <c r="I229" s="1" t="str">
        <f>"44833181"</f>
        <v>44833181</v>
      </c>
      <c r="J229" s="1" t="str">
        <f t="shared" si="32"/>
        <v>Закрито</v>
      </c>
      <c r="K229" s="5">
        <v>45600</v>
      </c>
      <c r="L229" s="1" t="str">
        <f>"150.0"</f>
        <v>150.0</v>
      </c>
      <c r="M229" s="1" t="s">
        <v>22</v>
      </c>
      <c r="N229" s="5">
        <v>45600</v>
      </c>
    </row>
    <row r="230" spans="1:14" x14ac:dyDescent="0.3">
      <c r="A230" s="1" t="str">
        <f>"2_1774/2129-11/2024/Ч"</f>
        <v>2_1774/2129-11/2024/Ч</v>
      </c>
      <c r="B230" s="6">
        <v>45600</v>
      </c>
      <c r="C230" s="1" t="str">
        <f>"00041"</f>
        <v>00041</v>
      </c>
      <c r="D23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30" s="1" t="s">
        <v>20</v>
      </c>
      <c r="F230" s="1" t="str">
        <f t="shared" si="34"/>
        <v>Центр надання адміністративних послуг Рогатинської міської ради</v>
      </c>
      <c r="G230" s="1" t="str">
        <f>"Фізична особа"</f>
        <v>Фізична особа</v>
      </c>
      <c r="H230" s="1" t="s">
        <v>20</v>
      </c>
      <c r="I230" s="1" t="s">
        <v>20</v>
      </c>
      <c r="J230" s="1" t="str">
        <f t="shared" si="32"/>
        <v>Закрито</v>
      </c>
      <c r="K230" s="5">
        <v>45600</v>
      </c>
      <c r="L230" s="1" t="s">
        <v>20</v>
      </c>
      <c r="M230" s="1" t="s">
        <v>22</v>
      </c>
      <c r="N230" s="5">
        <v>45600</v>
      </c>
    </row>
    <row r="231" spans="1:14" x14ac:dyDescent="0.3">
      <c r="A231" s="1" t="str">
        <f>"2_1775/2129-11/2024/Ф"</f>
        <v>2_1775/2129-11/2024/Ф</v>
      </c>
      <c r="B231" s="6">
        <v>45600</v>
      </c>
      <c r="C231" s="1" t="str">
        <f>"00042"</f>
        <v>00042</v>
      </c>
      <c r="D231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31" s="1" t="s">
        <v>20</v>
      </c>
      <c r="F231" s="1" t="str">
        <f t="shared" si="34"/>
        <v>Центр надання адміністративних послуг Рогатинської міської ради</v>
      </c>
      <c r="G231" s="1" t="str">
        <f>"Юридична особа"</f>
        <v>Юридична особа</v>
      </c>
      <c r="H231" s="1" t="str">
        <f>"ФГ""Віталія Дзери"""</f>
        <v>ФГ"Віталія Дзери"</v>
      </c>
      <c r="I231" s="1" t="str">
        <f>"44833181"</f>
        <v>44833181</v>
      </c>
      <c r="J231" s="1" t="str">
        <f t="shared" si="32"/>
        <v>Закрито</v>
      </c>
      <c r="K231" s="5">
        <v>45600</v>
      </c>
      <c r="L231" s="1" t="str">
        <f>"150.0"</f>
        <v>150.0</v>
      </c>
      <c r="M231" s="1" t="s">
        <v>22</v>
      </c>
      <c r="N231" s="5">
        <v>45600</v>
      </c>
    </row>
    <row r="232" spans="1:14" x14ac:dyDescent="0.3">
      <c r="A232" s="1" t="str">
        <f>"2_1776/2129-11/2024/Ч"</f>
        <v>2_1776/2129-11/2024/Ч</v>
      </c>
      <c r="B232" s="6">
        <v>45600</v>
      </c>
      <c r="C232" s="1" t="str">
        <f>"00041"</f>
        <v>00041</v>
      </c>
      <c r="D23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32" s="1" t="s">
        <v>20</v>
      </c>
      <c r="F232" s="1" t="str">
        <f t="shared" si="34"/>
        <v>Центр надання адміністративних послуг Рогатинської міської ради</v>
      </c>
      <c r="G232" s="1" t="str">
        <f>"Фізична особа"</f>
        <v>Фізична особа</v>
      </c>
      <c r="H232" s="1" t="s">
        <v>20</v>
      </c>
      <c r="I232" s="1" t="s">
        <v>20</v>
      </c>
      <c r="J232" s="1" t="str">
        <f t="shared" si="32"/>
        <v>Закрито</v>
      </c>
      <c r="K232" s="5">
        <v>45600</v>
      </c>
      <c r="L232" s="1" t="s">
        <v>20</v>
      </c>
      <c r="M232" s="1" t="s">
        <v>22</v>
      </c>
      <c r="N232" s="5">
        <v>45600</v>
      </c>
    </row>
    <row r="233" spans="1:14" x14ac:dyDescent="0.3">
      <c r="A233" s="1" t="str">
        <f>"2_1777/2129-11/2024/с"</f>
        <v>2_1777/2129-11/2024/с</v>
      </c>
      <c r="B233" s="6">
        <v>45600</v>
      </c>
      <c r="C233" s="1" t="str">
        <f>"00042"</f>
        <v>00042</v>
      </c>
      <c r="D233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33" s="1" t="s">
        <v>20</v>
      </c>
      <c r="F233" s="1" t="str">
        <f t="shared" si="34"/>
        <v>Центр надання адміністративних послуг Рогатинської міської ради</v>
      </c>
      <c r="G233" s="1" t="str">
        <f>"Юридична особа"</f>
        <v>Юридична особа</v>
      </c>
      <c r="H233" s="1" t="str">
        <f>"селянсько-фермерське господарство ""Багрія Андрія Михайловича"""</f>
        <v>селянсько-фермерське господарство "Багрія Андрія Михайловича"</v>
      </c>
      <c r="I233" s="1" t="str">
        <f>"25067028"</f>
        <v>25067028</v>
      </c>
      <c r="J233" s="1" t="str">
        <f t="shared" si="32"/>
        <v>Закрито</v>
      </c>
      <c r="K233" s="5">
        <v>45600</v>
      </c>
      <c r="L233" s="1" t="s">
        <v>20</v>
      </c>
      <c r="M233" s="1" t="s">
        <v>22</v>
      </c>
      <c r="N233" s="5">
        <v>45600</v>
      </c>
    </row>
    <row r="234" spans="1:14" x14ac:dyDescent="0.3">
      <c r="A234" s="1" t="str">
        <f>"2_1778/2129-11/2024/Ф"</f>
        <v>2_1778/2129-11/2024/Ф</v>
      </c>
      <c r="B234" s="6">
        <v>45600</v>
      </c>
      <c r="C234" s="1" t="str">
        <f>"00047"</f>
        <v>00047</v>
      </c>
      <c r="D234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234" s="1" t="s">
        <v>20</v>
      </c>
      <c r="F234" s="1" t="str">
        <f t="shared" si="34"/>
        <v>Центр надання адміністративних послуг Рогатинської міської ради</v>
      </c>
      <c r="G234" s="1" t="str">
        <f>"Юридична особа"</f>
        <v>Юридична особа</v>
      </c>
      <c r="H234" s="1" t="str">
        <f>"ФГ "" Віталія Дзери"""</f>
        <v>ФГ " Віталія Дзери"</v>
      </c>
      <c r="I234" s="1" t="str">
        <f>"44833181"</f>
        <v>44833181</v>
      </c>
      <c r="J234" s="1" t="str">
        <f t="shared" si="32"/>
        <v>Закрито</v>
      </c>
      <c r="K234" s="5">
        <v>45600</v>
      </c>
      <c r="L234" s="1" t="str">
        <f>"80.0"</f>
        <v>80.0</v>
      </c>
      <c r="M234" s="1" t="s">
        <v>22</v>
      </c>
      <c r="N234" s="5">
        <v>45600</v>
      </c>
    </row>
    <row r="235" spans="1:14" x14ac:dyDescent="0.3">
      <c r="A235" s="1" t="str">
        <f>"21_631-11/2024/К"</f>
        <v>21_631-11/2024/К</v>
      </c>
      <c r="B235" s="6">
        <v>45600</v>
      </c>
      <c r="C235" s="1" t="str">
        <f>"01841"</f>
        <v>01841</v>
      </c>
      <c r="D235" s="2" t="str">
        <f>"Видача довідки про реєстрацію та проживання особи станом на 15.04.1991 року"</f>
        <v>Видача довідки про реєстрацію та проживання особи станом на 15.04.1991 року</v>
      </c>
      <c r="E235" s="1" t="s">
        <v>20</v>
      </c>
      <c r="F235" s="1" t="str">
        <f t="shared" si="34"/>
        <v>Центр надання адміністративних послуг Рогатинської міської ради</v>
      </c>
      <c r="G235" s="1" t="str">
        <f t="shared" ref="G235:G240" si="35">"Фізична особа"</f>
        <v>Фізична особа</v>
      </c>
      <c r="H235" s="1" t="s">
        <v>20</v>
      </c>
      <c r="I235" s="1" t="s">
        <v>20</v>
      </c>
      <c r="J235" s="1" t="str">
        <f t="shared" si="32"/>
        <v>Закрито</v>
      </c>
      <c r="K235" s="5">
        <v>45600</v>
      </c>
      <c r="L235" s="1" t="s">
        <v>20</v>
      </c>
      <c r="M235" s="1" t="s">
        <v>22</v>
      </c>
      <c r="N235" s="5">
        <v>45600</v>
      </c>
    </row>
    <row r="236" spans="1:14" x14ac:dyDescent="0.3">
      <c r="A236" s="1" t="str">
        <f>"2_1779/2129-11/2024/Ч"</f>
        <v>2_1779/2129-11/2024/Ч</v>
      </c>
      <c r="B236" s="6">
        <v>45600</v>
      </c>
      <c r="C236" s="1" t="str">
        <f>"00041"</f>
        <v>00041</v>
      </c>
      <c r="D23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36" s="1" t="s">
        <v>20</v>
      </c>
      <c r="F236" s="1" t="str">
        <f t="shared" si="34"/>
        <v>Центр надання адміністративних послуг Рогатинської міської ради</v>
      </c>
      <c r="G236" s="1" t="str">
        <f t="shared" si="35"/>
        <v>Фізична особа</v>
      </c>
      <c r="H236" s="1" t="s">
        <v>20</v>
      </c>
      <c r="I236" s="1" t="s">
        <v>20</v>
      </c>
      <c r="J236" s="1" t="str">
        <f t="shared" si="32"/>
        <v>Закрито</v>
      </c>
      <c r="K236" s="5">
        <v>45600</v>
      </c>
      <c r="L236" s="1" t="s">
        <v>20</v>
      </c>
      <c r="M236" s="1" t="s">
        <v>22</v>
      </c>
      <c r="N236" s="5">
        <v>45600</v>
      </c>
    </row>
    <row r="237" spans="1:14" x14ac:dyDescent="0.3">
      <c r="A237" s="1" t="str">
        <f>"2_1780/2129-11/2024/Д"</f>
        <v>2_1780/2129-11/2024/Д</v>
      </c>
      <c r="B237" s="6">
        <v>45600</v>
      </c>
      <c r="C237" s="1" t="str">
        <f>"00047"</f>
        <v>00047</v>
      </c>
      <c r="D237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237" s="1" t="s">
        <v>20</v>
      </c>
      <c r="F237" s="1" t="str">
        <f t="shared" si="34"/>
        <v>Центр надання адміністративних послуг Рогатинської міської ради</v>
      </c>
      <c r="G237" s="1" t="str">
        <f t="shared" si="35"/>
        <v>Фізична особа</v>
      </c>
      <c r="H237" s="1" t="s">
        <v>20</v>
      </c>
      <c r="I237" s="1" t="s">
        <v>20</v>
      </c>
      <c r="J237" s="1" t="str">
        <f t="shared" si="32"/>
        <v>Закрито</v>
      </c>
      <c r="K237" s="5">
        <v>45600</v>
      </c>
      <c r="L237" s="1" t="str">
        <f>"80.0"</f>
        <v>80.0</v>
      </c>
      <c r="M237" s="1" t="s">
        <v>22</v>
      </c>
      <c r="N237" s="5">
        <v>45600</v>
      </c>
    </row>
    <row r="238" spans="1:14" x14ac:dyDescent="0.3">
      <c r="A238" s="1" t="str">
        <f>"3_1327/4-11/2024/У"</f>
        <v>3_1327/4-11/2024/У</v>
      </c>
      <c r="B238" s="6">
        <v>45600</v>
      </c>
      <c r="C238" s="1" t="str">
        <f>"00060"</f>
        <v>00060</v>
      </c>
      <c r="D238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8" s="1" t="s">
        <v>20</v>
      </c>
      <c r="F238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38" s="1" t="str">
        <f t="shared" si="35"/>
        <v>Фізична особа</v>
      </c>
      <c r="H238" s="1" t="s">
        <v>20</v>
      </c>
      <c r="I238" s="1" t="s">
        <v>20</v>
      </c>
      <c r="J238" s="1" t="str">
        <f>"Результат підготовлено СНАП"</f>
        <v>Результат підготовлено СНАП</v>
      </c>
      <c r="K238" s="5">
        <v>45614</v>
      </c>
      <c r="L238" s="1" t="str">
        <f>"151.4"</f>
        <v>151.4</v>
      </c>
      <c r="M238" s="1" t="s">
        <v>22</v>
      </c>
      <c r="N238" s="1" t="s">
        <v>20</v>
      </c>
    </row>
    <row r="239" spans="1:14" x14ac:dyDescent="0.3">
      <c r="A239" s="1" t="str">
        <f>"9_1579/04054323-11/2024/Ф"</f>
        <v>9_1579/04054323-11/2024/Ф</v>
      </c>
      <c r="B239" s="6">
        <v>45600</v>
      </c>
      <c r="C239" s="1" t="str">
        <f>"00199"</f>
        <v>00199</v>
      </c>
      <c r="D239" s="2" t="str">
        <f>"00199 Видача рішення про надання дозволу на розроблення проекту землеустрою щодо відведення земельної ділянки"</f>
        <v>00199 Видача рішення про надання дозволу на розроблення проекту землеустрою щодо відведення земельної ділянки</v>
      </c>
      <c r="E239" s="1" t="str">
        <f>"04054323"</f>
        <v>04054323</v>
      </c>
      <c r="F239" s="1" t="str">
        <f>"Рогатинська міська рада"</f>
        <v>Рогатинська міська рада</v>
      </c>
      <c r="G239" s="1" t="str">
        <f t="shared" si="35"/>
        <v>Фізична особа</v>
      </c>
      <c r="H239" s="1" t="s">
        <v>20</v>
      </c>
      <c r="I239" s="1" t="s">
        <v>20</v>
      </c>
      <c r="J239" s="1" t="str">
        <f t="shared" ref="J239:J264" si="36">"Закрито"</f>
        <v>Закрито</v>
      </c>
      <c r="K239" s="5">
        <v>45637</v>
      </c>
      <c r="L239" s="1" t="s">
        <v>20</v>
      </c>
      <c r="M239" s="1" t="s">
        <v>22</v>
      </c>
      <c r="N239" s="5">
        <v>45637</v>
      </c>
    </row>
    <row r="240" spans="1:14" x14ac:dyDescent="0.3">
      <c r="A240" s="1" t="str">
        <f>"2_1781/2129-11/2024/Ш"</f>
        <v>2_1781/2129-11/2024/Ш</v>
      </c>
      <c r="B240" s="6">
        <v>45600</v>
      </c>
      <c r="C240" s="1" t="str">
        <f>"00041"</f>
        <v>00041</v>
      </c>
      <c r="D24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0" s="1" t="s">
        <v>20</v>
      </c>
      <c r="F240" s="1" t="str">
        <f t="shared" ref="F240:F256" si="37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0" s="1" t="str">
        <f t="shared" si="35"/>
        <v>Фізична особа</v>
      </c>
      <c r="H240" s="1" t="s">
        <v>20</v>
      </c>
      <c r="I240" s="1" t="s">
        <v>20</v>
      </c>
      <c r="J240" s="1" t="str">
        <f t="shared" si="36"/>
        <v>Закрито</v>
      </c>
      <c r="K240" s="5">
        <v>45600</v>
      </c>
      <c r="L240" s="1" t="s">
        <v>20</v>
      </c>
      <c r="M240" s="1" t="s">
        <v>22</v>
      </c>
      <c r="N240" s="5">
        <v>45600</v>
      </c>
    </row>
    <row r="241" spans="1:14" x14ac:dyDescent="0.3">
      <c r="A241" s="1" t="str">
        <f>"2_1782/2129-11/2024/Ф"</f>
        <v>2_1782/2129-11/2024/Ф</v>
      </c>
      <c r="B241" s="6">
        <v>45600</v>
      </c>
      <c r="C241" s="1" t="str">
        <f>"00042"</f>
        <v>00042</v>
      </c>
      <c r="D241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41" s="1" t="s">
        <v>20</v>
      </c>
      <c r="F241" s="1" t="str">
        <f t="shared" si="37"/>
        <v>Центр надання адміністративних послуг Рогатинської міської ради</v>
      </c>
      <c r="G241" s="1" t="str">
        <f>"Юридична особа"</f>
        <v>Юридична особа</v>
      </c>
      <c r="H241" s="1" t="str">
        <f>"ФГ""ВІталія Дзери"""</f>
        <v>ФГ"ВІталія Дзери"</v>
      </c>
      <c r="I241" s="1" t="str">
        <f>"44833181"</f>
        <v>44833181</v>
      </c>
      <c r="J241" s="1" t="str">
        <f t="shared" si="36"/>
        <v>Закрито</v>
      </c>
      <c r="K241" s="5">
        <v>45600</v>
      </c>
      <c r="L241" s="1" t="str">
        <f>"150.0"</f>
        <v>150.0</v>
      </c>
      <c r="M241" s="1" t="s">
        <v>22</v>
      </c>
      <c r="N241" s="5">
        <v>45600</v>
      </c>
    </row>
    <row r="242" spans="1:14" x14ac:dyDescent="0.3">
      <c r="A242" s="1" t="str">
        <f>"2_1783/2129-11/2024/Ф"</f>
        <v>2_1783/2129-11/2024/Ф</v>
      </c>
      <c r="B242" s="6">
        <v>45600</v>
      </c>
      <c r="C242" s="1" t="str">
        <f>"00042"</f>
        <v>00042</v>
      </c>
      <c r="D242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42" s="1" t="s">
        <v>20</v>
      </c>
      <c r="F242" s="1" t="str">
        <f t="shared" si="37"/>
        <v>Центр надання адміністративних послуг Рогатинської міської ради</v>
      </c>
      <c r="G242" s="1" t="str">
        <f>"Юридична особа"</f>
        <v>Юридична особа</v>
      </c>
      <c r="H242" s="1" t="str">
        <f>"ФГ"" Віталія Дзери"""</f>
        <v>ФГ" Віталія Дзери"</v>
      </c>
      <c r="I242" s="1" t="str">
        <f>"44833181"</f>
        <v>44833181</v>
      </c>
      <c r="J242" s="1" t="str">
        <f t="shared" si="36"/>
        <v>Закрито</v>
      </c>
      <c r="K242" s="5">
        <v>45600</v>
      </c>
      <c r="L242" s="1" t="str">
        <f>"150.0"</f>
        <v>150.0</v>
      </c>
      <c r="M242" s="1" t="s">
        <v>22</v>
      </c>
      <c r="N242" s="5">
        <v>45600</v>
      </c>
    </row>
    <row r="243" spans="1:14" x14ac:dyDescent="0.3">
      <c r="A243" s="1" t="str">
        <f>"2_1784/2129-11/2024/Ш"</f>
        <v>2_1784/2129-11/2024/Ш</v>
      </c>
      <c r="B243" s="6">
        <v>45600</v>
      </c>
      <c r="C243" s="1" t="str">
        <f>"00041"</f>
        <v>00041</v>
      </c>
      <c r="D243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3" s="1" t="s">
        <v>20</v>
      </c>
      <c r="F243" s="1" t="str">
        <f t="shared" si="37"/>
        <v>Центр надання адміністративних послуг Рогатинської міської ради</v>
      </c>
      <c r="G243" s="1" t="str">
        <f>"Фізична особа"</f>
        <v>Фізична особа</v>
      </c>
      <c r="H243" s="1" t="s">
        <v>20</v>
      </c>
      <c r="I243" s="1" t="s">
        <v>20</v>
      </c>
      <c r="J243" s="1" t="str">
        <f t="shared" si="36"/>
        <v>Закрито</v>
      </c>
      <c r="K243" s="5">
        <v>45600</v>
      </c>
      <c r="L243" s="1" t="s">
        <v>20</v>
      </c>
      <c r="M243" s="1" t="s">
        <v>22</v>
      </c>
      <c r="N243" s="5">
        <v>45600</v>
      </c>
    </row>
    <row r="244" spans="1:14" x14ac:dyDescent="0.3">
      <c r="A244" s="1" t="str">
        <f>"2_1785/2129-11/2024/Ф"</f>
        <v>2_1785/2129-11/2024/Ф</v>
      </c>
      <c r="B244" s="6">
        <v>45600</v>
      </c>
      <c r="C244" s="1" t="str">
        <f>"00042"</f>
        <v>00042</v>
      </c>
      <c r="D244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44" s="1" t="s">
        <v>20</v>
      </c>
      <c r="F244" s="1" t="str">
        <f t="shared" si="37"/>
        <v>Центр надання адміністративних послуг Рогатинської міської ради</v>
      </c>
      <c r="G244" s="1" t="str">
        <f>"Юридична особа"</f>
        <v>Юридична особа</v>
      </c>
      <c r="H244" s="1" t="str">
        <f>"ФГ""Віталія Дзери"""</f>
        <v>ФГ"Віталія Дзери"</v>
      </c>
      <c r="I244" s="1" t="str">
        <f>"44833181"</f>
        <v>44833181</v>
      </c>
      <c r="J244" s="1" t="str">
        <f t="shared" si="36"/>
        <v>Закрито</v>
      </c>
      <c r="K244" s="5">
        <v>45600</v>
      </c>
      <c r="L244" s="1" t="str">
        <f>"150.0"</f>
        <v>150.0</v>
      </c>
      <c r="M244" s="1" t="s">
        <v>22</v>
      </c>
      <c r="N244" s="5">
        <v>45600</v>
      </c>
    </row>
    <row r="245" spans="1:14" x14ac:dyDescent="0.3">
      <c r="A245" s="1" t="str">
        <f>"2_1786/2129-11/2024/Ш"</f>
        <v>2_1786/2129-11/2024/Ш</v>
      </c>
      <c r="B245" s="6">
        <v>45600</v>
      </c>
      <c r="C245" s="1" t="str">
        <f>"00041"</f>
        <v>00041</v>
      </c>
      <c r="D24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5" s="1" t="s">
        <v>20</v>
      </c>
      <c r="F245" s="1" t="str">
        <f t="shared" si="37"/>
        <v>Центр надання адміністративних послуг Рогатинської міської ради</v>
      </c>
      <c r="G245" s="1" t="str">
        <f>"Фізична особа"</f>
        <v>Фізична особа</v>
      </c>
      <c r="H245" s="1" t="s">
        <v>20</v>
      </c>
      <c r="I245" s="1" t="s">
        <v>20</v>
      </c>
      <c r="J245" s="1" t="str">
        <f t="shared" si="36"/>
        <v>Закрито</v>
      </c>
      <c r="K245" s="5">
        <v>45600</v>
      </c>
      <c r="L245" s="1" t="str">
        <f>"300.0"</f>
        <v>300.0</v>
      </c>
      <c r="M245" s="1" t="s">
        <v>22</v>
      </c>
      <c r="N245" s="5">
        <v>45600</v>
      </c>
    </row>
    <row r="246" spans="1:14" x14ac:dyDescent="0.3">
      <c r="A246" s="1" t="str">
        <f>"2_1787/2129-11/2024/Ф"</f>
        <v>2_1787/2129-11/2024/Ф</v>
      </c>
      <c r="B246" s="6">
        <v>45600</v>
      </c>
      <c r="C246" s="1" t="str">
        <f>"00042"</f>
        <v>00042</v>
      </c>
      <c r="D246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46" s="1" t="s">
        <v>20</v>
      </c>
      <c r="F246" s="1" t="str">
        <f t="shared" si="37"/>
        <v>Центр надання адміністративних послуг Рогатинської міської ради</v>
      </c>
      <c r="G246" s="1" t="str">
        <f>"Юридична особа"</f>
        <v>Юридична особа</v>
      </c>
      <c r="H246" s="1" t="str">
        <f>"ФГ ""Віталія Дзери"""</f>
        <v>ФГ "Віталія Дзери"</v>
      </c>
      <c r="I246" s="1" t="str">
        <f>"44833181"</f>
        <v>44833181</v>
      </c>
      <c r="J246" s="1" t="str">
        <f t="shared" si="36"/>
        <v>Закрито</v>
      </c>
      <c r="K246" s="5">
        <v>45600</v>
      </c>
      <c r="L246" s="1" t="str">
        <f>"150.0"</f>
        <v>150.0</v>
      </c>
      <c r="M246" s="1" t="s">
        <v>22</v>
      </c>
      <c r="N246" s="5">
        <v>45600</v>
      </c>
    </row>
    <row r="247" spans="1:14" x14ac:dyDescent="0.3">
      <c r="A247" s="1" t="str">
        <f>"2_1788/2129-11/2024/К"</f>
        <v>2_1788/2129-11/2024/К</v>
      </c>
      <c r="B247" s="6">
        <v>45600</v>
      </c>
      <c r="C247" s="1" t="str">
        <f>"00041"</f>
        <v>00041</v>
      </c>
      <c r="D24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7" s="1" t="s">
        <v>20</v>
      </c>
      <c r="F247" s="1" t="str">
        <f t="shared" si="37"/>
        <v>Центр надання адміністративних послуг Рогатинської міської ради</v>
      </c>
      <c r="G247" s="1" t="str">
        <f>"Фізична особа"</f>
        <v>Фізична особа</v>
      </c>
      <c r="H247" s="1" t="s">
        <v>20</v>
      </c>
      <c r="I247" s="1" t="s">
        <v>20</v>
      </c>
      <c r="J247" s="1" t="str">
        <f t="shared" si="36"/>
        <v>Закрито</v>
      </c>
      <c r="K247" s="5">
        <v>45600</v>
      </c>
      <c r="L247" s="1" t="str">
        <f>"300.0"</f>
        <v>300.0</v>
      </c>
      <c r="M247" s="1" t="s">
        <v>22</v>
      </c>
      <c r="N247" s="5">
        <v>45600</v>
      </c>
    </row>
    <row r="248" spans="1:14" x14ac:dyDescent="0.3">
      <c r="A248" s="1" t="str">
        <f>"2_1789/2129-11/2024/Ф"</f>
        <v>2_1789/2129-11/2024/Ф</v>
      </c>
      <c r="B248" s="6">
        <v>45600</v>
      </c>
      <c r="C248" s="1" t="str">
        <f>"00042"</f>
        <v>00042</v>
      </c>
      <c r="D248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48" s="1" t="s">
        <v>20</v>
      </c>
      <c r="F248" s="1" t="str">
        <f t="shared" si="37"/>
        <v>Центр надання адміністративних послуг Рогатинської міської ради</v>
      </c>
      <c r="G248" s="1" t="str">
        <f>"Юридична особа"</f>
        <v>Юридична особа</v>
      </c>
      <c r="H248" s="1" t="str">
        <f>"ФГ""Віталія Дзери"""</f>
        <v>ФГ"Віталія Дзери"</v>
      </c>
      <c r="I248" s="1" t="str">
        <f>"44833181"</f>
        <v>44833181</v>
      </c>
      <c r="J248" s="1" t="str">
        <f t="shared" si="36"/>
        <v>Закрито</v>
      </c>
      <c r="K248" s="5">
        <v>45600</v>
      </c>
      <c r="L248" s="1" t="str">
        <f>"150.0"</f>
        <v>150.0</v>
      </c>
      <c r="M248" s="1" t="s">
        <v>22</v>
      </c>
      <c r="N248" s="5">
        <v>45600</v>
      </c>
    </row>
    <row r="249" spans="1:14" x14ac:dyDescent="0.3">
      <c r="A249" s="1" t="str">
        <f>"2_1790/2129-11/2024/Б"</f>
        <v>2_1790/2129-11/2024/Б</v>
      </c>
      <c r="B249" s="6">
        <v>45600</v>
      </c>
      <c r="C249" s="1" t="str">
        <f>"00041"</f>
        <v>00041</v>
      </c>
      <c r="D24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9" s="1" t="s">
        <v>20</v>
      </c>
      <c r="F249" s="1" t="str">
        <f t="shared" si="37"/>
        <v>Центр надання адміністративних послуг Рогатинської міської ради</v>
      </c>
      <c r="G249" s="1" t="str">
        <f>"Фізична особа"</f>
        <v>Фізична особа</v>
      </c>
      <c r="H249" s="1" t="s">
        <v>20</v>
      </c>
      <c r="I249" s="1" t="s">
        <v>20</v>
      </c>
      <c r="J249" s="1" t="str">
        <f t="shared" si="36"/>
        <v>Закрито</v>
      </c>
      <c r="K249" s="5">
        <v>45600</v>
      </c>
      <c r="L249" s="1" t="str">
        <f>"300.0"</f>
        <v>300.0</v>
      </c>
      <c r="M249" s="1" t="s">
        <v>22</v>
      </c>
      <c r="N249" s="5">
        <v>45600</v>
      </c>
    </row>
    <row r="250" spans="1:14" x14ac:dyDescent="0.3">
      <c r="A250" s="1" t="str">
        <f>"2_1791/2129-11/2024/Ф"</f>
        <v>2_1791/2129-11/2024/Ф</v>
      </c>
      <c r="B250" s="6">
        <v>45600</v>
      </c>
      <c r="C250" s="1" t="str">
        <f>"00042"</f>
        <v>00042</v>
      </c>
      <c r="D250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50" s="1" t="s">
        <v>20</v>
      </c>
      <c r="F250" s="1" t="str">
        <f t="shared" si="37"/>
        <v>Центр надання адміністративних послуг Рогатинської міської ради</v>
      </c>
      <c r="G250" s="1" t="str">
        <f>"Юридична особа"</f>
        <v>Юридична особа</v>
      </c>
      <c r="H250" s="1" t="str">
        <f>"ФГ""Віталія Дзери"""</f>
        <v>ФГ"Віталія Дзери"</v>
      </c>
      <c r="I250" s="1" t="str">
        <f>"44833181"</f>
        <v>44833181</v>
      </c>
      <c r="J250" s="1" t="str">
        <f t="shared" si="36"/>
        <v>Закрито</v>
      </c>
      <c r="K250" s="5">
        <v>45600</v>
      </c>
      <c r="L250" s="1" t="str">
        <f>"150.0"</f>
        <v>150.0</v>
      </c>
      <c r="M250" s="1" t="s">
        <v>22</v>
      </c>
      <c r="N250" s="5">
        <v>45600</v>
      </c>
    </row>
    <row r="251" spans="1:14" x14ac:dyDescent="0.3">
      <c r="A251" s="1" t="str">
        <f>"2_1792/2129-11/2024/М"</f>
        <v>2_1792/2129-11/2024/М</v>
      </c>
      <c r="B251" s="6">
        <v>45600</v>
      </c>
      <c r="C251" s="1" t="str">
        <f>"00047"</f>
        <v>00047</v>
      </c>
      <c r="D251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251" s="1" t="s">
        <v>20</v>
      </c>
      <c r="F251" s="1" t="str">
        <f t="shared" si="37"/>
        <v>Центр надання адміністративних послуг Рогатинської міської ради</v>
      </c>
      <c r="G251" s="1" t="str">
        <f>"Фізична особа"</f>
        <v>Фізична особа</v>
      </c>
      <c r="H251" s="1" t="s">
        <v>20</v>
      </c>
      <c r="I251" s="1" t="s">
        <v>20</v>
      </c>
      <c r="J251" s="1" t="str">
        <f t="shared" si="36"/>
        <v>Закрито</v>
      </c>
      <c r="K251" s="5">
        <v>45600</v>
      </c>
      <c r="L251" s="1" t="str">
        <f>"80.0"</f>
        <v>80.0</v>
      </c>
      <c r="M251" s="1" t="s">
        <v>22</v>
      </c>
      <c r="N251" s="5">
        <v>45600</v>
      </c>
    </row>
    <row r="252" spans="1:14" x14ac:dyDescent="0.3">
      <c r="A252" s="1" t="str">
        <f>"2_1793/2129-11/2024/Ф"</f>
        <v>2_1793/2129-11/2024/Ф</v>
      </c>
      <c r="B252" s="6">
        <v>45600</v>
      </c>
      <c r="C252" s="1" t="str">
        <f>"00042"</f>
        <v>00042</v>
      </c>
      <c r="D252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52" s="1" t="s">
        <v>20</v>
      </c>
      <c r="F252" s="1" t="str">
        <f t="shared" si="37"/>
        <v>Центр надання адміністративних послуг Рогатинської міської ради</v>
      </c>
      <c r="G252" s="1" t="str">
        <f>"Юридична особа"</f>
        <v>Юридична особа</v>
      </c>
      <c r="H252" s="1" t="str">
        <f>"ФГ""Віталія Дзери"""</f>
        <v>ФГ"Віталія Дзери"</v>
      </c>
      <c r="I252" s="1" t="str">
        <f>"44833181"</f>
        <v>44833181</v>
      </c>
      <c r="J252" s="1" t="str">
        <f t="shared" si="36"/>
        <v>Закрито</v>
      </c>
      <c r="K252" s="5">
        <v>45600</v>
      </c>
      <c r="L252" s="1" t="str">
        <f>"150.0"</f>
        <v>150.0</v>
      </c>
      <c r="M252" s="1" t="s">
        <v>22</v>
      </c>
      <c r="N252" s="5">
        <v>45600</v>
      </c>
    </row>
    <row r="253" spans="1:14" x14ac:dyDescent="0.3">
      <c r="A253" s="1" t="str">
        <f>"35_489-11/2024/Д"</f>
        <v>35_489-11/2024/Д</v>
      </c>
      <c r="B253" s="6">
        <v>45600</v>
      </c>
      <c r="C253" s="1" t="str">
        <f>"33"</f>
        <v>33</v>
      </c>
      <c r="D253" s="2" t="str">
        <f>"33 Довідки різного характеру"</f>
        <v>33 Довідки різного характеру</v>
      </c>
      <c r="E253" s="1" t="s">
        <v>20</v>
      </c>
      <c r="F253" s="1" t="str">
        <f t="shared" si="37"/>
        <v>Центр надання адміністративних послуг Рогатинської міської ради</v>
      </c>
      <c r="G253" s="1" t="str">
        <f>"Фізична особа"</f>
        <v>Фізична особа</v>
      </c>
      <c r="H253" s="1" t="s">
        <v>20</v>
      </c>
      <c r="I253" s="1" t="s">
        <v>20</v>
      </c>
      <c r="J253" s="1" t="str">
        <f t="shared" si="36"/>
        <v>Закрито</v>
      </c>
      <c r="K253" s="5">
        <v>45600</v>
      </c>
      <c r="L253" s="1" t="s">
        <v>20</v>
      </c>
      <c r="M253" s="1" t="s">
        <v>22</v>
      </c>
      <c r="N253" s="5">
        <v>45600</v>
      </c>
    </row>
    <row r="254" spans="1:14" x14ac:dyDescent="0.3">
      <c r="A254" s="1" t="str">
        <f>"4_901-11/2024/К"</f>
        <v>4_901-11/2024/К</v>
      </c>
      <c r="B254" s="6">
        <v>45600</v>
      </c>
      <c r="C254" s="1" t="str">
        <f>"00034"</f>
        <v>00034</v>
      </c>
      <c r="D254" s="2" t="str">
        <f>"Реєстрація місця проживання"</f>
        <v>Реєстрація місця проживання</v>
      </c>
      <c r="E254" s="1" t="s">
        <v>20</v>
      </c>
      <c r="F254" s="1" t="str">
        <f t="shared" si="37"/>
        <v>Центр надання адміністративних послуг Рогатинської міської ради</v>
      </c>
      <c r="G254" s="1" t="str">
        <f>"Фізична особа"</f>
        <v>Фізична особа</v>
      </c>
      <c r="H254" s="1" t="s">
        <v>20</v>
      </c>
      <c r="I254" s="1" t="s">
        <v>20</v>
      </c>
      <c r="J254" s="1" t="str">
        <f t="shared" si="36"/>
        <v>Закрито</v>
      </c>
      <c r="K254" s="5">
        <v>45600</v>
      </c>
      <c r="L254" s="1" t="str">
        <f>"45.42"</f>
        <v>45.42</v>
      </c>
      <c r="M254" s="1" t="s">
        <v>22</v>
      </c>
      <c r="N254" s="5">
        <v>45600</v>
      </c>
    </row>
    <row r="255" spans="1:14" x14ac:dyDescent="0.3">
      <c r="A255" s="1" t="str">
        <f>"2_1794/2129-11/2024/Ф"</f>
        <v>2_1794/2129-11/2024/Ф</v>
      </c>
      <c r="B255" s="6">
        <v>45600</v>
      </c>
      <c r="C255" s="1" t="str">
        <f>"00042"</f>
        <v>00042</v>
      </c>
      <c r="D255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55" s="1" t="s">
        <v>20</v>
      </c>
      <c r="F255" s="1" t="str">
        <f t="shared" si="37"/>
        <v>Центр надання адміністративних послуг Рогатинської міської ради</v>
      </c>
      <c r="G255" s="1" t="str">
        <f>"Юридична особа"</f>
        <v>Юридична особа</v>
      </c>
      <c r="H255" s="1" t="str">
        <f>"ФГ""ВІталія Дзери"""</f>
        <v>ФГ"ВІталія Дзери"</v>
      </c>
      <c r="I255" s="1" t="str">
        <f>"44833181"</f>
        <v>44833181</v>
      </c>
      <c r="J255" s="1" t="str">
        <f t="shared" si="36"/>
        <v>Закрито</v>
      </c>
      <c r="K255" s="5">
        <v>45600</v>
      </c>
      <c r="L255" s="1" t="str">
        <f>"150.0"</f>
        <v>150.0</v>
      </c>
      <c r="M255" s="1" t="s">
        <v>22</v>
      </c>
      <c r="N255" s="5">
        <v>45600</v>
      </c>
    </row>
    <row r="256" spans="1:14" x14ac:dyDescent="0.3">
      <c r="A256" s="1" t="str">
        <f>"2_1795/2129-11/2024/Т"</f>
        <v>2_1795/2129-11/2024/Т</v>
      </c>
      <c r="B256" s="6">
        <v>45600</v>
      </c>
      <c r="C256" s="1" t="str">
        <f>"00041"</f>
        <v>00041</v>
      </c>
      <c r="D25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6" s="1" t="s">
        <v>20</v>
      </c>
      <c r="F256" s="1" t="str">
        <f t="shared" si="37"/>
        <v>Центр надання адміністративних послуг Рогатинської міської ради</v>
      </c>
      <c r="G256" s="1" t="str">
        <f>"Фізична особа"</f>
        <v>Фізична особа</v>
      </c>
      <c r="H256" s="1" t="s">
        <v>20</v>
      </c>
      <c r="I256" s="1" t="s">
        <v>20</v>
      </c>
      <c r="J256" s="1" t="str">
        <f t="shared" si="36"/>
        <v>Закрито</v>
      </c>
      <c r="K256" s="5">
        <v>45600</v>
      </c>
      <c r="L256" s="1" t="str">
        <f>"300.0"</f>
        <v>300.0</v>
      </c>
      <c r="M256" s="1" t="s">
        <v>22</v>
      </c>
      <c r="N256" s="5">
        <v>45600</v>
      </c>
    </row>
    <row r="257" spans="1:14" x14ac:dyDescent="0.3">
      <c r="A257" s="1" t="str">
        <f>"9_1580/04054323-11/2024/А"</f>
        <v>9_1580/04054323-11/2024/А</v>
      </c>
      <c r="B257" s="6">
        <v>45600</v>
      </c>
      <c r="C257" s="1" t="str">
        <f>"01-1"</f>
        <v>01-1</v>
      </c>
      <c r="D257" s="2" t="s">
        <v>0</v>
      </c>
      <c r="E257" s="1" t="str">
        <f>"04054323"</f>
        <v>04054323</v>
      </c>
      <c r="F257" s="1" t="str">
        <f>"Рогатинська міська рада"</f>
        <v>Рогатинська міська рада</v>
      </c>
      <c r="G257" s="1" t="str">
        <f>"Фізична особа"</f>
        <v>Фізична особа</v>
      </c>
      <c r="H257" s="1" t="s">
        <v>20</v>
      </c>
      <c r="I257" s="1" t="s">
        <v>20</v>
      </c>
      <c r="J257" s="1" t="str">
        <f t="shared" si="36"/>
        <v>Закрито</v>
      </c>
      <c r="K257" s="1" t="s">
        <v>20</v>
      </c>
      <c r="L257" s="1" t="s">
        <v>20</v>
      </c>
      <c r="M257" s="1" t="s">
        <v>22</v>
      </c>
      <c r="N257" s="1" t="s">
        <v>20</v>
      </c>
    </row>
    <row r="258" spans="1:14" x14ac:dyDescent="0.3">
      <c r="A258" s="1" t="str">
        <f>"2_1796/2129-11/2024/Ф"</f>
        <v>2_1796/2129-11/2024/Ф</v>
      </c>
      <c r="B258" s="6">
        <v>45600</v>
      </c>
      <c r="C258" s="1" t="str">
        <f>"00042"</f>
        <v>00042</v>
      </c>
      <c r="D258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58" s="1" t="s">
        <v>20</v>
      </c>
      <c r="F25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8" s="1" t="str">
        <f>"Юридична особа"</f>
        <v>Юридична особа</v>
      </c>
      <c r="H258" s="1" t="str">
        <f>"ФГ"" Віталія Дзери"""</f>
        <v>ФГ" Віталія Дзери"</v>
      </c>
      <c r="I258" s="1" t="str">
        <f>"44833181"</f>
        <v>44833181</v>
      </c>
      <c r="J258" s="1" t="str">
        <f t="shared" si="36"/>
        <v>Закрито</v>
      </c>
      <c r="K258" s="5">
        <v>45600</v>
      </c>
      <c r="L258" s="1" t="str">
        <f>"150.0"</f>
        <v>150.0</v>
      </c>
      <c r="M258" s="1" t="s">
        <v>22</v>
      </c>
      <c r="N258" s="5">
        <v>45600</v>
      </c>
    </row>
    <row r="259" spans="1:14" x14ac:dyDescent="0.3">
      <c r="A259" s="1" t="str">
        <f>"35_490-11/2024/Л"</f>
        <v>35_490-11/2024/Л</v>
      </c>
      <c r="B259" s="6">
        <v>45600</v>
      </c>
      <c r="C259" s="1" t="str">
        <f>"00155"</f>
        <v>00155</v>
      </c>
      <c r="D259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9" s="1" t="str">
        <f>"03193413"</f>
        <v>03193413</v>
      </c>
      <c r="F25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9" s="1" t="str">
        <f>"Фізична особа"</f>
        <v>Фізична особа</v>
      </c>
      <c r="H259" s="1" t="s">
        <v>20</v>
      </c>
      <c r="I259" s="1" t="s">
        <v>20</v>
      </c>
      <c r="J259" s="1" t="str">
        <f t="shared" si="36"/>
        <v>Закрито</v>
      </c>
      <c r="K259" s="5">
        <v>45636</v>
      </c>
      <c r="L259" s="1" t="s">
        <v>20</v>
      </c>
      <c r="M259" s="1" t="s">
        <v>22</v>
      </c>
      <c r="N259" s="5">
        <v>45636</v>
      </c>
    </row>
    <row r="260" spans="1:14" x14ac:dyDescent="0.3">
      <c r="A260" s="1" t="str">
        <f>"2_1797/2129-11/2024/І"</f>
        <v>2_1797/2129-11/2024/І</v>
      </c>
      <c r="B260" s="6">
        <v>45600</v>
      </c>
      <c r="C260" s="1" t="str">
        <f>"00041"</f>
        <v>00041</v>
      </c>
      <c r="D26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60" s="1" t="s">
        <v>20</v>
      </c>
      <c r="F2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0" s="1" t="str">
        <f>"Фізична особа"</f>
        <v>Фізична особа</v>
      </c>
      <c r="H260" s="1" t="s">
        <v>20</v>
      </c>
      <c r="I260" s="1" t="s">
        <v>20</v>
      </c>
      <c r="J260" s="1" t="str">
        <f t="shared" si="36"/>
        <v>Закрито</v>
      </c>
      <c r="K260" s="5">
        <v>45600</v>
      </c>
      <c r="L260" s="1" t="str">
        <f>"300.0"</f>
        <v>300.0</v>
      </c>
      <c r="M260" s="1" t="s">
        <v>22</v>
      </c>
      <c r="N260" s="5">
        <v>45600</v>
      </c>
    </row>
    <row r="261" spans="1:14" x14ac:dyDescent="0.3">
      <c r="A261" s="1" t="str">
        <f>"2_1798/2129-11/2024/Ф"</f>
        <v>2_1798/2129-11/2024/Ф</v>
      </c>
      <c r="B261" s="6">
        <v>45600</v>
      </c>
      <c r="C261" s="1" t="str">
        <f>"00042"</f>
        <v>00042</v>
      </c>
      <c r="D261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61" s="1" t="s">
        <v>20</v>
      </c>
      <c r="F26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1" s="1" t="str">
        <f>"Юридична особа"</f>
        <v>Юридична особа</v>
      </c>
      <c r="H261" s="1" t="str">
        <f>"ФГ""Віталія Дзери"""</f>
        <v>ФГ"Віталія Дзери"</v>
      </c>
      <c r="I261" s="1" t="str">
        <f>"44833181"</f>
        <v>44833181</v>
      </c>
      <c r="J261" s="1" t="str">
        <f t="shared" si="36"/>
        <v>Закрито</v>
      </c>
      <c r="K261" s="5">
        <v>45600</v>
      </c>
      <c r="L261" s="1" t="str">
        <f>"150.0"</f>
        <v>150.0</v>
      </c>
      <c r="M261" s="1" t="s">
        <v>22</v>
      </c>
      <c r="N261" s="5">
        <v>45600</v>
      </c>
    </row>
    <row r="262" spans="1:14" x14ac:dyDescent="0.3">
      <c r="A262" s="1" t="str">
        <f>"2_1799/2129-11/2024/Ф"</f>
        <v>2_1799/2129-11/2024/Ф</v>
      </c>
      <c r="B262" s="6">
        <v>45600</v>
      </c>
      <c r="C262" s="1" t="str">
        <f>"00042"</f>
        <v>00042</v>
      </c>
      <c r="D262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62" s="1" t="s">
        <v>20</v>
      </c>
      <c r="F26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2" s="1" t="str">
        <f>"Юридична особа"</f>
        <v>Юридична особа</v>
      </c>
      <c r="H262" s="1" t="str">
        <f>"ФГ""ВІталія Дзери"""</f>
        <v>ФГ"ВІталія Дзери"</v>
      </c>
      <c r="I262" s="1" t="str">
        <f>"44833181"</f>
        <v>44833181</v>
      </c>
      <c r="J262" s="1" t="str">
        <f t="shared" si="36"/>
        <v>Закрито</v>
      </c>
      <c r="K262" s="5">
        <v>45600</v>
      </c>
      <c r="L262" s="1" t="str">
        <f>"150.0"</f>
        <v>150.0</v>
      </c>
      <c r="M262" s="1" t="s">
        <v>22</v>
      </c>
      <c r="N262" s="5">
        <v>45600</v>
      </c>
    </row>
    <row r="263" spans="1:14" x14ac:dyDescent="0.3">
      <c r="A263" s="1" t="str">
        <f>"28_621-11/2024/Г"</f>
        <v>28_621-11/2024/Г</v>
      </c>
      <c r="B263" s="6">
        <v>45600</v>
      </c>
      <c r="C263" s="1" t="str">
        <f>"00038"</f>
        <v>00038</v>
      </c>
      <c r="D26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63" s="1" t="s">
        <v>20</v>
      </c>
      <c r="F26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3" s="1" t="str">
        <f>"Фізична особа"</f>
        <v>Фізична особа</v>
      </c>
      <c r="H263" s="1" t="s">
        <v>20</v>
      </c>
      <c r="I263" s="1" t="s">
        <v>20</v>
      </c>
      <c r="J263" s="1" t="str">
        <f t="shared" si="36"/>
        <v>Закрито</v>
      </c>
      <c r="K263" s="5">
        <v>45600</v>
      </c>
      <c r="L263" s="1" t="s">
        <v>20</v>
      </c>
      <c r="M263" s="1" t="s">
        <v>22</v>
      </c>
      <c r="N263" s="5">
        <v>45600</v>
      </c>
    </row>
    <row r="264" spans="1:14" x14ac:dyDescent="0.3">
      <c r="A264" s="1" t="str">
        <f>"2_1800/2129-11/2024/Ф"</f>
        <v>2_1800/2129-11/2024/Ф</v>
      </c>
      <c r="B264" s="6">
        <v>45600</v>
      </c>
      <c r="C264" s="1" t="str">
        <f>"00042"</f>
        <v>00042</v>
      </c>
      <c r="D264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64" s="1" t="s">
        <v>20</v>
      </c>
      <c r="F2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4" s="1" t="str">
        <f>"Юридична особа"</f>
        <v>Юридична особа</v>
      </c>
      <c r="H264" s="1" t="str">
        <f>"ФГ"" Віталія Дзери"""</f>
        <v>ФГ" Віталія Дзери"</v>
      </c>
      <c r="I264" s="1" t="str">
        <f>"44833181"</f>
        <v>44833181</v>
      </c>
      <c r="J264" s="1" t="str">
        <f t="shared" si="36"/>
        <v>Закрито</v>
      </c>
      <c r="K264" s="5">
        <v>45600</v>
      </c>
      <c r="L264" s="1" t="str">
        <f>"150.0"</f>
        <v>150.0</v>
      </c>
      <c r="M264" s="1" t="s">
        <v>22</v>
      </c>
      <c r="N264" s="5">
        <v>45600</v>
      </c>
    </row>
    <row r="265" spans="1:14" x14ac:dyDescent="0.3">
      <c r="A265" s="1" t="str">
        <f>"27_565-11/2024/С"</f>
        <v>27_565-11/2024/С</v>
      </c>
      <c r="B265" s="6">
        <v>45600</v>
      </c>
      <c r="C265" s="1" t="str">
        <f>"00155"</f>
        <v>00155</v>
      </c>
      <c r="D265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5" s="1" t="str">
        <f>"03193413"</f>
        <v>03193413</v>
      </c>
      <c r="F26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5" s="1" t="str">
        <f>"Фізична особа"</f>
        <v>Фізична особа</v>
      </c>
      <c r="H265" s="1" t="s">
        <v>20</v>
      </c>
      <c r="I265" s="1" t="s">
        <v>20</v>
      </c>
      <c r="J265" s="1" t="str">
        <f>"На обробці в СНАП"</f>
        <v>На обробці в СНАП</v>
      </c>
      <c r="K265" s="1" t="s">
        <v>20</v>
      </c>
      <c r="L265" s="1" t="s">
        <v>20</v>
      </c>
      <c r="M265" s="1" t="s">
        <v>22</v>
      </c>
      <c r="N265" s="1" t="s">
        <v>20</v>
      </c>
    </row>
    <row r="266" spans="1:14" x14ac:dyDescent="0.3">
      <c r="A266" s="1" t="str">
        <f>"2_1801/2129-11/2024/Ф"</f>
        <v>2_1801/2129-11/2024/Ф</v>
      </c>
      <c r="B266" s="6">
        <v>45600</v>
      </c>
      <c r="C266" s="1" t="str">
        <f>"00042"</f>
        <v>00042</v>
      </c>
      <c r="D266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66" s="1" t="s">
        <v>20</v>
      </c>
      <c r="F26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6" s="1" t="str">
        <f>"Юридична особа"</f>
        <v>Юридична особа</v>
      </c>
      <c r="H266" s="1" t="str">
        <f>"ФГ""ВІталія Дзери"""</f>
        <v>ФГ"ВІталія Дзери"</v>
      </c>
      <c r="I266" s="1" t="str">
        <f>"44833181"</f>
        <v>44833181</v>
      </c>
      <c r="J266" s="1" t="str">
        <f t="shared" ref="J266:J297" si="38">"Закрито"</f>
        <v>Закрито</v>
      </c>
      <c r="K266" s="5">
        <v>45600</v>
      </c>
      <c r="L266" s="1" t="str">
        <f>"150.0"</f>
        <v>150.0</v>
      </c>
      <c r="M266" s="1" t="s">
        <v>22</v>
      </c>
      <c r="N266" s="5">
        <v>45600</v>
      </c>
    </row>
    <row r="267" spans="1:14" x14ac:dyDescent="0.3">
      <c r="A267" s="1" t="str">
        <f>"2_1802/2129-11/2024/Ф"</f>
        <v>2_1802/2129-11/2024/Ф</v>
      </c>
      <c r="B267" s="6">
        <v>45600</v>
      </c>
      <c r="C267" s="1" t="str">
        <f>"00042"</f>
        <v>00042</v>
      </c>
      <c r="D267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67" s="1" t="s">
        <v>20</v>
      </c>
      <c r="F26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7" s="1" t="str">
        <f>"Юридична особа"</f>
        <v>Юридична особа</v>
      </c>
      <c r="H267" s="1" t="str">
        <f>"ФГ""ВІталія Дзери"""</f>
        <v>ФГ"ВІталія Дзери"</v>
      </c>
      <c r="I267" s="1" t="str">
        <f>"44833181"</f>
        <v>44833181</v>
      </c>
      <c r="J267" s="1" t="str">
        <f t="shared" si="38"/>
        <v>Закрито</v>
      </c>
      <c r="K267" s="5">
        <v>45600</v>
      </c>
      <c r="L267" s="1" t="str">
        <f>"150.0"</f>
        <v>150.0</v>
      </c>
      <c r="M267" s="1" t="s">
        <v>22</v>
      </c>
      <c r="N267" s="5">
        <v>45600</v>
      </c>
    </row>
    <row r="268" spans="1:14" x14ac:dyDescent="0.3">
      <c r="A268" s="1" t="str">
        <f>"2_1803/2129-11/2024/Д"</f>
        <v>2_1803/2129-11/2024/Д</v>
      </c>
      <c r="B268" s="6">
        <v>45600</v>
      </c>
      <c r="C268" s="1" t="str">
        <f>"00041"</f>
        <v>00041</v>
      </c>
      <c r="D26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68" s="1" t="s">
        <v>20</v>
      </c>
      <c r="F26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8" s="1" t="str">
        <f t="shared" ref="G268:G275" si="39">"Фізична особа"</f>
        <v>Фізична особа</v>
      </c>
      <c r="H268" s="1" t="s">
        <v>20</v>
      </c>
      <c r="I268" s="1" t="s">
        <v>20</v>
      </c>
      <c r="J268" s="1" t="str">
        <f t="shared" si="38"/>
        <v>Закрито</v>
      </c>
      <c r="K268" s="5">
        <v>45600</v>
      </c>
      <c r="L268" s="1" t="str">
        <f>"300.0"</f>
        <v>300.0</v>
      </c>
      <c r="M268" s="1" t="s">
        <v>22</v>
      </c>
      <c r="N268" s="5">
        <v>45600</v>
      </c>
    </row>
    <row r="269" spans="1:14" x14ac:dyDescent="0.3">
      <c r="A269" s="1" t="str">
        <f>"4_902-11/2024/К"</f>
        <v>4_902-11/2024/К</v>
      </c>
      <c r="B269" s="6">
        <v>45600</v>
      </c>
      <c r="C269" s="1" t="str">
        <f>"00038"</f>
        <v>00038</v>
      </c>
      <c r="D26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69" s="1" t="s">
        <v>20</v>
      </c>
      <c r="F26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9" s="1" t="str">
        <f t="shared" si="39"/>
        <v>Фізична особа</v>
      </c>
      <c r="H269" s="1" t="s">
        <v>20</v>
      </c>
      <c r="I269" s="1" t="s">
        <v>20</v>
      </c>
      <c r="J269" s="1" t="str">
        <f t="shared" si="38"/>
        <v>Закрито</v>
      </c>
      <c r="K269" s="5">
        <v>45600</v>
      </c>
      <c r="L269" s="1" t="s">
        <v>20</v>
      </c>
      <c r="M269" s="1" t="s">
        <v>22</v>
      </c>
      <c r="N269" s="5">
        <v>45600</v>
      </c>
    </row>
    <row r="270" spans="1:14" x14ac:dyDescent="0.3">
      <c r="A270" s="1" t="str">
        <f>"2_1804/2129-11/2024/Д"</f>
        <v>2_1804/2129-11/2024/Д</v>
      </c>
      <c r="B270" s="6">
        <v>45600</v>
      </c>
      <c r="C270" s="1" t="str">
        <f>"00041"</f>
        <v>00041</v>
      </c>
      <c r="D27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70" s="1" t="s">
        <v>20</v>
      </c>
      <c r="F27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0" s="1" t="str">
        <f t="shared" si="39"/>
        <v>Фізична особа</v>
      </c>
      <c r="H270" s="1" t="s">
        <v>20</v>
      </c>
      <c r="I270" s="1" t="s">
        <v>20</v>
      </c>
      <c r="J270" s="1" t="str">
        <f t="shared" si="38"/>
        <v>Закрито</v>
      </c>
      <c r="K270" s="5">
        <v>45600</v>
      </c>
      <c r="L270" s="1" t="str">
        <f>"300.0"</f>
        <v>300.0</v>
      </c>
      <c r="M270" s="1" t="s">
        <v>22</v>
      </c>
      <c r="N270" s="5">
        <v>45600</v>
      </c>
    </row>
    <row r="271" spans="1:14" x14ac:dyDescent="0.3">
      <c r="A271" s="1" t="str">
        <f>"28_622-11/2024/Г"</f>
        <v>28_622-11/2024/Г</v>
      </c>
      <c r="B271" s="6">
        <v>45600</v>
      </c>
      <c r="C271" s="1" t="str">
        <f>"00151"</f>
        <v>00151</v>
      </c>
      <c r="D271" s="2" t="str">
        <f>"Призначення державної соціальної допомоги особам з інвалідністю з дитинства та дітям з інвалідністю"</f>
        <v>Призначення державної соціальної допомоги особам з інвалідністю з дитинства та дітям з інвалідністю</v>
      </c>
      <c r="E271" s="1" t="str">
        <f>"03193413"</f>
        <v>03193413</v>
      </c>
      <c r="F27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1" s="1" t="str">
        <f t="shared" si="39"/>
        <v>Фізична особа</v>
      </c>
      <c r="H271" s="1" t="s">
        <v>20</v>
      </c>
      <c r="I271" s="1" t="s">
        <v>20</v>
      </c>
      <c r="J271" s="1" t="str">
        <f t="shared" si="38"/>
        <v>Закрито</v>
      </c>
      <c r="K271" s="5">
        <v>45614</v>
      </c>
      <c r="L271" s="1" t="s">
        <v>20</v>
      </c>
      <c r="M271" s="1" t="s">
        <v>22</v>
      </c>
      <c r="N271" s="5">
        <v>45614</v>
      </c>
    </row>
    <row r="272" spans="1:14" x14ac:dyDescent="0.3">
      <c r="A272" s="1" t="str">
        <f>"2_1805/2129-11/2024/Д"</f>
        <v>2_1805/2129-11/2024/Д</v>
      </c>
      <c r="B272" s="6">
        <v>45600</v>
      </c>
      <c r="C272" s="1" t="str">
        <f>"00041"</f>
        <v>00041</v>
      </c>
      <c r="D27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72" s="1" t="s">
        <v>20</v>
      </c>
      <c r="F272" s="1" t="str">
        <f t="shared" ref="F272:F285" si="40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2" s="1" t="str">
        <f t="shared" si="39"/>
        <v>Фізична особа</v>
      </c>
      <c r="H272" s="1" t="s">
        <v>20</v>
      </c>
      <c r="I272" s="1" t="s">
        <v>20</v>
      </c>
      <c r="J272" s="1" t="str">
        <f t="shared" si="38"/>
        <v>Закрито</v>
      </c>
      <c r="K272" s="5">
        <v>45600</v>
      </c>
      <c r="L272" s="1" t="str">
        <f>"300.0"</f>
        <v>300.0</v>
      </c>
      <c r="M272" s="1" t="s">
        <v>22</v>
      </c>
      <c r="N272" s="5">
        <v>45600</v>
      </c>
    </row>
    <row r="273" spans="1:14" x14ac:dyDescent="0.3">
      <c r="A273" s="1" t="str">
        <f>"2_1806/2129-11/2024/Д"</f>
        <v>2_1806/2129-11/2024/Д</v>
      </c>
      <c r="B273" s="6">
        <v>45600</v>
      </c>
      <c r="C273" s="1" t="str">
        <f>"00041"</f>
        <v>00041</v>
      </c>
      <c r="D273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73" s="1" t="s">
        <v>20</v>
      </c>
      <c r="F273" s="1" t="str">
        <f t="shared" si="40"/>
        <v>Центр надання адміністративних послуг Рогатинської міської ради</v>
      </c>
      <c r="G273" s="1" t="str">
        <f t="shared" si="39"/>
        <v>Фізична особа</v>
      </c>
      <c r="H273" s="1" t="s">
        <v>20</v>
      </c>
      <c r="I273" s="1" t="s">
        <v>20</v>
      </c>
      <c r="J273" s="1" t="str">
        <f t="shared" si="38"/>
        <v>Закрито</v>
      </c>
      <c r="K273" s="5">
        <v>45600</v>
      </c>
      <c r="L273" s="1" t="str">
        <f>"300.0"</f>
        <v>300.0</v>
      </c>
      <c r="M273" s="1" t="s">
        <v>22</v>
      </c>
      <c r="N273" s="5">
        <v>45600</v>
      </c>
    </row>
    <row r="274" spans="1:14" x14ac:dyDescent="0.3">
      <c r="A274" s="1" t="str">
        <f>"27_566-11/2024/С"</f>
        <v>27_566-11/2024/С</v>
      </c>
      <c r="B274" s="6">
        <v>45600</v>
      </c>
      <c r="C274" s="1" t="str">
        <f>"00038"</f>
        <v>00038</v>
      </c>
      <c r="D27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4" s="1" t="s">
        <v>20</v>
      </c>
      <c r="F274" s="1" t="str">
        <f t="shared" si="40"/>
        <v>Центр надання адміністративних послуг Рогатинської міської ради</v>
      </c>
      <c r="G274" s="1" t="str">
        <f t="shared" si="39"/>
        <v>Фізична особа</v>
      </c>
      <c r="H274" s="1" t="s">
        <v>20</v>
      </c>
      <c r="I274" s="1" t="s">
        <v>20</v>
      </c>
      <c r="J274" s="1" t="str">
        <f t="shared" si="38"/>
        <v>Закрито</v>
      </c>
      <c r="K274" s="5">
        <v>45600</v>
      </c>
      <c r="L274" s="1" t="s">
        <v>20</v>
      </c>
      <c r="M274" s="1" t="s">
        <v>22</v>
      </c>
      <c r="N274" s="5">
        <v>45600</v>
      </c>
    </row>
    <row r="275" spans="1:14" x14ac:dyDescent="0.3">
      <c r="A275" s="1" t="str">
        <f>"2_1807/2129-11/2024/Д"</f>
        <v>2_1807/2129-11/2024/Д</v>
      </c>
      <c r="B275" s="6">
        <v>45600</v>
      </c>
      <c r="C275" s="1" t="str">
        <f>"00041"</f>
        <v>00041</v>
      </c>
      <c r="D27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75" s="1" t="s">
        <v>20</v>
      </c>
      <c r="F275" s="1" t="str">
        <f t="shared" si="40"/>
        <v>Центр надання адміністративних послуг Рогатинської міської ради</v>
      </c>
      <c r="G275" s="1" t="str">
        <f t="shared" si="39"/>
        <v>Фізична особа</v>
      </c>
      <c r="H275" s="1" t="s">
        <v>20</v>
      </c>
      <c r="I275" s="1" t="s">
        <v>20</v>
      </c>
      <c r="J275" s="1" t="str">
        <f t="shared" si="38"/>
        <v>Закрито</v>
      </c>
      <c r="K275" s="5">
        <v>45600</v>
      </c>
      <c r="L275" s="1" t="str">
        <f>"300.0"</f>
        <v>300.0</v>
      </c>
      <c r="M275" s="1" t="s">
        <v>22</v>
      </c>
      <c r="N275" s="5">
        <v>45600</v>
      </c>
    </row>
    <row r="276" spans="1:14" x14ac:dyDescent="0.3">
      <c r="A276" s="1" t="str">
        <f>"2_1808/2129-11/2024/С"</f>
        <v>2_1808/2129-11/2024/С</v>
      </c>
      <c r="B276" s="6">
        <v>45600</v>
      </c>
      <c r="C276" s="1" t="str">
        <f>"00042"</f>
        <v>00042</v>
      </c>
      <c r="D276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76" s="1" t="s">
        <v>20</v>
      </c>
      <c r="F276" s="1" t="str">
        <f t="shared" si="40"/>
        <v>Центр надання адміністративних послуг Рогатинської міської ради</v>
      </c>
      <c r="G276" s="1" t="str">
        <f>"Юридична особа"</f>
        <v>Юридична особа</v>
      </c>
      <c r="H276" s="1" t="str">
        <f>"СТОВ"" Уїзд"""</f>
        <v>СТОВ" Уїзд"</v>
      </c>
      <c r="I276" s="1" t="str">
        <f>"2355210611"</f>
        <v>2355210611</v>
      </c>
      <c r="J276" s="1" t="str">
        <f t="shared" si="38"/>
        <v>Закрито</v>
      </c>
      <c r="K276" s="5">
        <v>45600</v>
      </c>
      <c r="L276" s="1" t="str">
        <f>"150.0"</f>
        <v>150.0</v>
      </c>
      <c r="M276" s="1" t="s">
        <v>22</v>
      </c>
      <c r="N276" s="5">
        <v>45600</v>
      </c>
    </row>
    <row r="277" spans="1:14" x14ac:dyDescent="0.3">
      <c r="A277" s="1" t="str">
        <f>"2_1809/2129-11/2024/С"</f>
        <v>2_1809/2129-11/2024/С</v>
      </c>
      <c r="B277" s="6">
        <v>45600</v>
      </c>
      <c r="C277" s="1" t="str">
        <f>"00042"</f>
        <v>00042</v>
      </c>
      <c r="D277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77" s="1" t="s">
        <v>20</v>
      </c>
      <c r="F277" s="1" t="str">
        <f t="shared" si="40"/>
        <v>Центр надання адміністративних послуг Рогатинської міської ради</v>
      </c>
      <c r="G277" s="1" t="str">
        <f>"Юридична особа"</f>
        <v>Юридична особа</v>
      </c>
      <c r="H277" s="1" t="str">
        <f>"СТОВ"" Уїзд"""</f>
        <v>СТОВ" Уїзд"</v>
      </c>
      <c r="I277" s="1" t="str">
        <f>"03752445"</f>
        <v>03752445</v>
      </c>
      <c r="J277" s="1" t="str">
        <f t="shared" si="38"/>
        <v>Закрито</v>
      </c>
      <c r="K277" s="5">
        <v>45600</v>
      </c>
      <c r="L277" s="1" t="str">
        <f>"150.0"</f>
        <v>150.0</v>
      </c>
      <c r="M277" s="1" t="s">
        <v>22</v>
      </c>
      <c r="N277" s="5">
        <v>45600</v>
      </c>
    </row>
    <row r="278" spans="1:14" x14ac:dyDescent="0.3">
      <c r="A278" s="1" t="str">
        <f>"2_1810/2129-11/2024/С"</f>
        <v>2_1810/2129-11/2024/С</v>
      </c>
      <c r="B278" s="6">
        <v>45600</v>
      </c>
      <c r="C278" s="1" t="str">
        <f>"00042"</f>
        <v>00042</v>
      </c>
      <c r="D278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78" s="1" t="s">
        <v>20</v>
      </c>
      <c r="F278" s="1" t="str">
        <f t="shared" si="40"/>
        <v>Центр надання адміністративних послуг Рогатинської міської ради</v>
      </c>
      <c r="G278" s="1" t="str">
        <f>"Юридична особа"</f>
        <v>Юридична особа</v>
      </c>
      <c r="H278" s="1" t="str">
        <f>"СТОВ"" Уїзд"""</f>
        <v>СТОВ" Уїзд"</v>
      </c>
      <c r="I278" s="1" t="str">
        <f>"03752445"</f>
        <v>03752445</v>
      </c>
      <c r="J278" s="1" t="str">
        <f t="shared" si="38"/>
        <v>Закрито</v>
      </c>
      <c r="K278" s="5">
        <v>45600</v>
      </c>
      <c r="L278" s="1" t="str">
        <f>"150.0"</f>
        <v>150.0</v>
      </c>
      <c r="M278" s="1" t="s">
        <v>22</v>
      </c>
      <c r="N278" s="5">
        <v>45600</v>
      </c>
    </row>
    <row r="279" spans="1:14" x14ac:dyDescent="0.3">
      <c r="A279" s="1" t="str">
        <f>"27_567-11/2024/П"</f>
        <v>27_567-11/2024/П</v>
      </c>
      <c r="B279" s="6">
        <v>45600</v>
      </c>
      <c r="C279" s="1" t="str">
        <f>"00038"</f>
        <v>00038</v>
      </c>
      <c r="D27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9" s="1" t="s">
        <v>20</v>
      </c>
      <c r="F279" s="1" t="str">
        <f t="shared" si="40"/>
        <v>Центр надання адміністративних послуг Рогатинської міської ради</v>
      </c>
      <c r="G279" s="1" t="str">
        <f t="shared" ref="G279:G286" si="41">"Фізична особа"</f>
        <v>Фізична особа</v>
      </c>
      <c r="H279" s="1" t="s">
        <v>20</v>
      </c>
      <c r="I279" s="1" t="s">
        <v>20</v>
      </c>
      <c r="J279" s="1" t="str">
        <f t="shared" si="38"/>
        <v>Закрито</v>
      </c>
      <c r="K279" s="5">
        <v>45600</v>
      </c>
      <c r="L279" s="1" t="s">
        <v>20</v>
      </c>
      <c r="M279" s="1" t="s">
        <v>22</v>
      </c>
      <c r="N279" s="5">
        <v>45600</v>
      </c>
    </row>
    <row r="280" spans="1:14" x14ac:dyDescent="0.3">
      <c r="A280" s="1" t="str">
        <f>"2_1811/2129-11/2024/П"</f>
        <v>2_1811/2129-11/2024/П</v>
      </c>
      <c r="B280" s="6">
        <v>45600</v>
      </c>
      <c r="C280" s="1" t="str">
        <f>"00047"</f>
        <v>00047</v>
      </c>
      <c r="D280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280" s="1" t="s">
        <v>20</v>
      </c>
      <c r="F280" s="1" t="str">
        <f t="shared" si="40"/>
        <v>Центр надання адміністративних послуг Рогатинської міської ради</v>
      </c>
      <c r="G280" s="1" t="str">
        <f t="shared" si="41"/>
        <v>Фізична особа</v>
      </c>
      <c r="H280" s="1" t="s">
        <v>20</v>
      </c>
      <c r="I280" s="1" t="s">
        <v>20</v>
      </c>
      <c r="J280" s="1" t="str">
        <f t="shared" si="38"/>
        <v>Закрито</v>
      </c>
      <c r="K280" s="5">
        <v>45600</v>
      </c>
      <c r="L280" s="1" t="str">
        <f>"80.0"</f>
        <v>80.0</v>
      </c>
      <c r="M280" s="1" t="s">
        <v>22</v>
      </c>
      <c r="N280" s="5">
        <v>45600</v>
      </c>
    </row>
    <row r="281" spans="1:14" x14ac:dyDescent="0.3">
      <c r="A281" s="1" t="str">
        <f>"21_632-11/2024/Г"</f>
        <v>21_632-11/2024/Г</v>
      </c>
      <c r="B281" s="6">
        <v>45600</v>
      </c>
      <c r="C281" s="1" t="str">
        <f>"33"</f>
        <v>33</v>
      </c>
      <c r="D281" s="2" t="str">
        <f>"33 Довідки різного характеру"</f>
        <v>33 Довідки різного характеру</v>
      </c>
      <c r="E281" s="1" t="s">
        <v>20</v>
      </c>
      <c r="F281" s="1" t="str">
        <f t="shared" si="40"/>
        <v>Центр надання адміністративних послуг Рогатинської міської ради</v>
      </c>
      <c r="G281" s="1" t="str">
        <f t="shared" si="41"/>
        <v>Фізична особа</v>
      </c>
      <c r="H281" s="1" t="s">
        <v>20</v>
      </c>
      <c r="I281" s="1" t="s">
        <v>20</v>
      </c>
      <c r="J281" s="1" t="str">
        <f t="shared" si="38"/>
        <v>Закрито</v>
      </c>
      <c r="K281" s="1" t="s">
        <v>20</v>
      </c>
      <c r="L281" s="1" t="s">
        <v>20</v>
      </c>
      <c r="M281" s="1" t="s">
        <v>22</v>
      </c>
      <c r="N281" s="1" t="s">
        <v>20</v>
      </c>
    </row>
    <row r="282" spans="1:14" x14ac:dyDescent="0.3">
      <c r="A282" s="1" t="str">
        <f>"2_1812/2129-11/2024/І"</f>
        <v>2_1812/2129-11/2024/І</v>
      </c>
      <c r="B282" s="6">
        <v>45600</v>
      </c>
      <c r="C282" s="1" t="str">
        <f>"00041"</f>
        <v>00041</v>
      </c>
      <c r="D28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2" s="1" t="s">
        <v>20</v>
      </c>
      <c r="F282" s="1" t="str">
        <f t="shared" si="40"/>
        <v>Центр надання адміністративних послуг Рогатинської міської ради</v>
      </c>
      <c r="G282" s="1" t="str">
        <f t="shared" si="41"/>
        <v>Фізична особа</v>
      </c>
      <c r="H282" s="1" t="s">
        <v>20</v>
      </c>
      <c r="I282" s="1" t="s">
        <v>20</v>
      </c>
      <c r="J282" s="1" t="str">
        <f t="shared" si="38"/>
        <v>Закрито</v>
      </c>
      <c r="K282" s="5">
        <v>45600</v>
      </c>
      <c r="L282" s="1" t="str">
        <f>"300.0"</f>
        <v>300.0</v>
      </c>
      <c r="M282" s="1" t="s">
        <v>22</v>
      </c>
      <c r="N282" s="5">
        <v>45600</v>
      </c>
    </row>
    <row r="283" spans="1:14" x14ac:dyDescent="0.3">
      <c r="A283" s="1" t="str">
        <f>"5_469-11/2024/К"</f>
        <v>5_469-11/2024/К</v>
      </c>
      <c r="B283" s="6">
        <v>45600</v>
      </c>
      <c r="C283" s="1" t="str">
        <f>"00038"</f>
        <v>00038</v>
      </c>
      <c r="D28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3" s="1" t="s">
        <v>20</v>
      </c>
      <c r="F283" s="1" t="str">
        <f t="shared" si="40"/>
        <v>Центр надання адміністративних послуг Рогатинської міської ради</v>
      </c>
      <c r="G283" s="1" t="str">
        <f t="shared" si="41"/>
        <v>Фізична особа</v>
      </c>
      <c r="H283" s="1" t="s">
        <v>20</v>
      </c>
      <c r="I283" s="1" t="s">
        <v>20</v>
      </c>
      <c r="J283" s="1" t="str">
        <f t="shared" si="38"/>
        <v>Закрито</v>
      </c>
      <c r="K283" s="5">
        <v>45600</v>
      </c>
      <c r="L283" s="1" t="s">
        <v>20</v>
      </c>
      <c r="M283" s="1" t="s">
        <v>22</v>
      </c>
      <c r="N283" s="5">
        <v>45600</v>
      </c>
    </row>
    <row r="284" spans="1:14" x14ac:dyDescent="0.3">
      <c r="A284" s="1" t="str">
        <f>"2_1813/2129-11/2024/Л"</f>
        <v>2_1813/2129-11/2024/Л</v>
      </c>
      <c r="B284" s="6">
        <v>45600</v>
      </c>
      <c r="C284" s="1" t="str">
        <f>"00047"</f>
        <v>00047</v>
      </c>
      <c r="D284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284" s="1" t="s">
        <v>20</v>
      </c>
      <c r="F284" s="1" t="str">
        <f t="shared" si="40"/>
        <v>Центр надання адміністративних послуг Рогатинської міської ради</v>
      </c>
      <c r="G284" s="1" t="str">
        <f t="shared" si="41"/>
        <v>Фізична особа</v>
      </c>
      <c r="H284" s="1" t="s">
        <v>20</v>
      </c>
      <c r="I284" s="1" t="s">
        <v>20</v>
      </c>
      <c r="J284" s="1" t="str">
        <f t="shared" si="38"/>
        <v>Закрито</v>
      </c>
      <c r="K284" s="5">
        <v>45600</v>
      </c>
      <c r="L284" s="1" t="s">
        <v>20</v>
      </c>
      <c r="M284" s="1" t="s">
        <v>22</v>
      </c>
      <c r="N284" s="5">
        <v>45600</v>
      </c>
    </row>
    <row r="285" spans="1:14" x14ac:dyDescent="0.3">
      <c r="A285" s="1" t="str">
        <f>"5_470-11/2024/К"</f>
        <v>5_470-11/2024/К</v>
      </c>
      <c r="B285" s="6">
        <v>45600</v>
      </c>
      <c r="C285" s="1" t="str">
        <f>"01840"</f>
        <v>01840</v>
      </c>
      <c r="D285" s="2" t="str">
        <f>"Видача довідки про реєстрацію неповнолітніх в будинку"</f>
        <v>Видача довідки про реєстрацію неповнолітніх в будинку</v>
      </c>
      <c r="E285" s="1" t="s">
        <v>20</v>
      </c>
      <c r="F285" s="1" t="str">
        <f t="shared" si="40"/>
        <v>Центр надання адміністративних послуг Рогатинської міської ради</v>
      </c>
      <c r="G285" s="1" t="str">
        <f t="shared" si="41"/>
        <v>Фізична особа</v>
      </c>
      <c r="H285" s="1" t="s">
        <v>20</v>
      </c>
      <c r="I285" s="1" t="s">
        <v>20</v>
      </c>
      <c r="J285" s="1" t="str">
        <f t="shared" si="38"/>
        <v>Закрито</v>
      </c>
      <c r="K285" s="5">
        <v>45600</v>
      </c>
      <c r="L285" s="1" t="s">
        <v>20</v>
      </c>
      <c r="M285" s="1" t="s">
        <v>22</v>
      </c>
      <c r="N285" s="5">
        <v>45600</v>
      </c>
    </row>
    <row r="286" spans="1:14" x14ac:dyDescent="0.3">
      <c r="A286" s="1" t="str">
        <f>"4_1218/03193413-11/2024/З"</f>
        <v>4_1218/03193413-11/2024/З</v>
      </c>
      <c r="B286" s="6">
        <v>45600</v>
      </c>
      <c r="C286" s="1" t="str">
        <f>"01974"</f>
        <v>01974</v>
      </c>
      <c r="D286" s="2" t="str">
        <f>"Призначення пільги на оплату житла, комунальних послуг"</f>
        <v>Призначення пільги на оплату житла, комунальних послуг</v>
      </c>
      <c r="E286" s="1" t="str">
        <f>"03193413"</f>
        <v>03193413</v>
      </c>
      <c r="F28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6" s="1" t="str">
        <f t="shared" si="41"/>
        <v>Фізична особа</v>
      </c>
      <c r="H286" s="1" t="s">
        <v>20</v>
      </c>
      <c r="I286" s="1" t="s">
        <v>20</v>
      </c>
      <c r="J286" s="1" t="str">
        <f t="shared" si="38"/>
        <v>Закрито</v>
      </c>
      <c r="K286" s="5">
        <v>45600</v>
      </c>
      <c r="L286" s="1" t="s">
        <v>20</v>
      </c>
      <c r="M286" s="1" t="s">
        <v>22</v>
      </c>
      <c r="N286" s="5">
        <v>45600</v>
      </c>
    </row>
    <row r="287" spans="1:14" x14ac:dyDescent="0.3">
      <c r="A287" s="1" t="str">
        <f>"2_1814/2129-11/2024/Ф"</f>
        <v>2_1814/2129-11/2024/Ф</v>
      </c>
      <c r="B287" s="6">
        <v>45600</v>
      </c>
      <c r="C287" s="1" t="str">
        <f>"00042"</f>
        <v>00042</v>
      </c>
      <c r="D287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87" s="1" t="s">
        <v>20</v>
      </c>
      <c r="F28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7" s="1" t="str">
        <f>"Юридична особа"</f>
        <v>Юридична особа</v>
      </c>
      <c r="H287" s="1" t="str">
        <f>"ФГ""Агро-Стандарт"""</f>
        <v>ФГ"Агро-Стандарт"</v>
      </c>
      <c r="I287" s="1" t="str">
        <f>"33958918"</f>
        <v>33958918</v>
      </c>
      <c r="J287" s="1" t="str">
        <f t="shared" si="38"/>
        <v>Закрито</v>
      </c>
      <c r="K287" s="5">
        <v>45600</v>
      </c>
      <c r="L287" s="1" t="str">
        <f>"150.0"</f>
        <v>150.0</v>
      </c>
      <c r="M287" s="1" t="s">
        <v>22</v>
      </c>
      <c r="N287" s="5">
        <v>45600</v>
      </c>
    </row>
    <row r="288" spans="1:14" x14ac:dyDescent="0.3">
      <c r="A288" s="1" t="str">
        <f>"1_5620/2129-11/2024/Р"</f>
        <v>1_5620/2129-11/2024/Р</v>
      </c>
      <c r="B288" s="6">
        <v>45600</v>
      </c>
      <c r="C288" s="1" t="str">
        <f>"02022"</f>
        <v>02022</v>
      </c>
      <c r="D288" s="2" t="str">
        <f>"Видача довідки про членство в особистому селянському господарстві"</f>
        <v>Видача довідки про членство в особистому селянському господарстві</v>
      </c>
      <c r="E288" s="1" t="s">
        <v>20</v>
      </c>
      <c r="F2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8" s="1" t="str">
        <f>"Фізична особа"</f>
        <v>Фізична особа</v>
      </c>
      <c r="H288" s="1" t="s">
        <v>20</v>
      </c>
      <c r="I288" s="1" t="s">
        <v>20</v>
      </c>
      <c r="J288" s="1" t="str">
        <f t="shared" si="38"/>
        <v>Закрито</v>
      </c>
      <c r="K288" s="8">
        <v>45600</v>
      </c>
      <c r="L288" s="1" t="s">
        <v>20</v>
      </c>
      <c r="M288" s="1" t="s">
        <v>22</v>
      </c>
      <c r="N288" s="5">
        <v>45600</v>
      </c>
    </row>
    <row r="289" spans="1:14" x14ac:dyDescent="0.3">
      <c r="A289" s="1" t="str">
        <f>"5_471-11/2024/Л"</f>
        <v>5_471-11/2024/Л</v>
      </c>
      <c r="B289" s="6">
        <v>45600</v>
      </c>
      <c r="C289" s="1" t="str">
        <f>"00155"</f>
        <v>00155</v>
      </c>
      <c r="D289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9" s="1" t="str">
        <f>"03193413"</f>
        <v>03193413</v>
      </c>
      <c r="F28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9" s="1" t="str">
        <f>"Фізична особа"</f>
        <v>Фізична особа</v>
      </c>
      <c r="H289" s="1" t="s">
        <v>20</v>
      </c>
      <c r="I289" s="1" t="s">
        <v>20</v>
      </c>
      <c r="J289" s="1" t="str">
        <f t="shared" si="38"/>
        <v>Закрито</v>
      </c>
      <c r="K289" s="5">
        <v>45608</v>
      </c>
      <c r="L289" s="1" t="s">
        <v>20</v>
      </c>
      <c r="M289" s="1" t="s">
        <v>22</v>
      </c>
      <c r="N289" s="5">
        <v>45608</v>
      </c>
    </row>
    <row r="290" spans="1:14" x14ac:dyDescent="0.3">
      <c r="A290" s="1" t="str">
        <f>"2_1815/2129-11/2024/Ф"</f>
        <v>2_1815/2129-11/2024/Ф</v>
      </c>
      <c r="B290" s="6">
        <v>45600</v>
      </c>
      <c r="C290" s="1" t="str">
        <f>"00042"</f>
        <v>00042</v>
      </c>
      <c r="D290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90" s="1" t="s">
        <v>20</v>
      </c>
      <c r="F290" s="1" t="str">
        <f t="shared" ref="F290:F302" si="42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0" s="1" t="str">
        <f>"Юридична особа"</f>
        <v>Юридична особа</v>
      </c>
      <c r="H290" s="1" t="str">
        <f>"ФГ""Агро-стандарт"""</f>
        <v>ФГ"Агро-стандарт"</v>
      </c>
      <c r="I290" s="1" t="str">
        <f>"33958918"</f>
        <v>33958918</v>
      </c>
      <c r="J290" s="1" t="str">
        <f t="shared" si="38"/>
        <v>Закрито</v>
      </c>
      <c r="K290" s="5">
        <v>45600</v>
      </c>
      <c r="L290" s="1" t="str">
        <f>"150.0"</f>
        <v>150.0</v>
      </c>
      <c r="M290" s="1" t="s">
        <v>22</v>
      </c>
      <c r="N290" s="5">
        <v>45600</v>
      </c>
    </row>
    <row r="291" spans="1:14" x14ac:dyDescent="0.3">
      <c r="A291" s="1" t="str">
        <f>"2_1816/2129-11/2024/Ф"</f>
        <v>2_1816/2129-11/2024/Ф</v>
      </c>
      <c r="B291" s="6">
        <v>45600</v>
      </c>
      <c r="C291" s="1" t="str">
        <f>"00042"</f>
        <v>00042</v>
      </c>
      <c r="D291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91" s="1" t="s">
        <v>20</v>
      </c>
      <c r="F291" s="1" t="str">
        <f t="shared" si="42"/>
        <v>Центр надання адміністративних послуг Рогатинської міської ради</v>
      </c>
      <c r="G291" s="1" t="str">
        <f>"Юридична особа"</f>
        <v>Юридична особа</v>
      </c>
      <c r="H291" s="1" t="str">
        <f>"ФГ""Агро-Стандарт"""</f>
        <v>ФГ"Агро-Стандарт"</v>
      </c>
      <c r="I291" s="1" t="str">
        <f>"33958918"</f>
        <v>33958918</v>
      </c>
      <c r="J291" s="1" t="str">
        <f t="shared" si="38"/>
        <v>Закрито</v>
      </c>
      <c r="K291" s="5">
        <v>45600</v>
      </c>
      <c r="L291" s="1" t="str">
        <f>"150.0"</f>
        <v>150.0</v>
      </c>
      <c r="M291" s="1" t="s">
        <v>22</v>
      </c>
      <c r="N291" s="5">
        <v>45600</v>
      </c>
    </row>
    <row r="292" spans="1:14" x14ac:dyDescent="0.3">
      <c r="A292" s="1" t="str">
        <f>"9_547-11/2024/Я"</f>
        <v>9_547-11/2024/Я</v>
      </c>
      <c r="B292" s="6">
        <v>45600</v>
      </c>
      <c r="C292" s="1" t="str">
        <f>"00038"</f>
        <v>00038</v>
      </c>
      <c r="D29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2" s="1" t="s">
        <v>20</v>
      </c>
      <c r="F292" s="1" t="str">
        <f t="shared" si="42"/>
        <v>Центр надання адміністративних послуг Рогатинської міської ради</v>
      </c>
      <c r="G292" s="1" t="str">
        <f>"Фізична особа"</f>
        <v>Фізична особа</v>
      </c>
      <c r="H292" s="1" t="s">
        <v>20</v>
      </c>
      <c r="I292" s="1" t="s">
        <v>20</v>
      </c>
      <c r="J292" s="1" t="str">
        <f t="shared" si="38"/>
        <v>Закрито</v>
      </c>
      <c r="K292" s="5">
        <v>45600</v>
      </c>
      <c r="L292" s="1" t="s">
        <v>20</v>
      </c>
      <c r="M292" s="1" t="s">
        <v>22</v>
      </c>
      <c r="N292" s="5">
        <v>45600</v>
      </c>
    </row>
    <row r="293" spans="1:14" x14ac:dyDescent="0.3">
      <c r="A293" s="1" t="str">
        <f>"2_1817/2129-11/2024/Ф"</f>
        <v>2_1817/2129-11/2024/Ф</v>
      </c>
      <c r="B293" s="6">
        <v>45600</v>
      </c>
      <c r="C293" s="1" t="str">
        <f>"00042"</f>
        <v>00042</v>
      </c>
      <c r="D293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93" s="1" t="s">
        <v>20</v>
      </c>
      <c r="F293" s="1" t="str">
        <f t="shared" si="42"/>
        <v>Центр надання адміністративних послуг Рогатинської міської ради</v>
      </c>
      <c r="G293" s="1" t="str">
        <f>"Юридична особа"</f>
        <v>Юридична особа</v>
      </c>
      <c r="H293" s="1" t="str">
        <f>"ФГ""Агро-Стандарт"""</f>
        <v>ФГ"Агро-Стандарт"</v>
      </c>
      <c r="I293" s="1" t="str">
        <f>"33958918"</f>
        <v>33958918</v>
      </c>
      <c r="J293" s="1" t="str">
        <f t="shared" si="38"/>
        <v>Закрито</v>
      </c>
      <c r="K293" s="5">
        <v>45600</v>
      </c>
      <c r="L293" s="1" t="str">
        <f>"150.0"</f>
        <v>150.0</v>
      </c>
      <c r="M293" s="1" t="s">
        <v>22</v>
      </c>
      <c r="N293" s="5">
        <v>45600</v>
      </c>
    </row>
    <row r="294" spans="1:14" x14ac:dyDescent="0.3">
      <c r="A294" s="1" t="str">
        <f>"2_1818/2129-11/2024/Ф"</f>
        <v>2_1818/2129-11/2024/Ф</v>
      </c>
      <c r="B294" s="6">
        <v>45600</v>
      </c>
      <c r="C294" s="1" t="str">
        <f>"00042"</f>
        <v>00042</v>
      </c>
      <c r="D294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94" s="1" t="s">
        <v>20</v>
      </c>
      <c r="F294" s="1" t="str">
        <f t="shared" si="42"/>
        <v>Центр надання адміністративних послуг Рогатинської міської ради</v>
      </c>
      <c r="G294" s="1" t="str">
        <f>"Юридична особа"</f>
        <v>Юридична особа</v>
      </c>
      <c r="H294" s="1" t="str">
        <f>"ФГ""Агро-Стандарт"""</f>
        <v>ФГ"Агро-Стандарт"</v>
      </c>
      <c r="I294" s="1" t="str">
        <f>"33958918"</f>
        <v>33958918</v>
      </c>
      <c r="J294" s="1" t="str">
        <f t="shared" si="38"/>
        <v>Закрито</v>
      </c>
      <c r="K294" s="5">
        <v>45600</v>
      </c>
      <c r="L294" s="1" t="str">
        <f>"150.0"</f>
        <v>150.0</v>
      </c>
      <c r="M294" s="1" t="s">
        <v>22</v>
      </c>
      <c r="N294" s="5">
        <v>45600</v>
      </c>
    </row>
    <row r="295" spans="1:14" x14ac:dyDescent="0.3">
      <c r="A295" s="1" t="str">
        <f>"14_940-11/2024/Д"</f>
        <v>14_940-11/2024/Д</v>
      </c>
      <c r="B295" s="6">
        <v>45600</v>
      </c>
      <c r="C295" s="1" t="str">
        <f>"00038"</f>
        <v>00038</v>
      </c>
      <c r="D29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5" s="1" t="s">
        <v>20</v>
      </c>
      <c r="F295" s="1" t="str">
        <f t="shared" si="42"/>
        <v>Центр надання адміністративних послуг Рогатинської міської ради</v>
      </c>
      <c r="G295" s="1" t="str">
        <f>"Фізична особа"</f>
        <v>Фізична особа</v>
      </c>
      <c r="H295" s="1" t="s">
        <v>20</v>
      </c>
      <c r="I295" s="1" t="s">
        <v>20</v>
      </c>
      <c r="J295" s="1" t="str">
        <f t="shared" si="38"/>
        <v>Закрито</v>
      </c>
      <c r="K295" s="5">
        <v>45600</v>
      </c>
      <c r="L295" s="1" t="s">
        <v>20</v>
      </c>
      <c r="M295" s="1" t="s">
        <v>22</v>
      </c>
      <c r="N295" s="5">
        <v>45600</v>
      </c>
    </row>
    <row r="296" spans="1:14" x14ac:dyDescent="0.3">
      <c r="A296" s="1" t="str">
        <f>"2_1819/2129-11/2024/С"</f>
        <v>2_1819/2129-11/2024/С</v>
      </c>
      <c r="B296" s="6">
        <v>45600</v>
      </c>
      <c r="C296" s="1" t="str">
        <f>"00042"</f>
        <v>00042</v>
      </c>
      <c r="D296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96" s="1" t="s">
        <v>20</v>
      </c>
      <c r="F296" s="1" t="str">
        <f t="shared" si="42"/>
        <v>Центр надання адміністративних послуг Рогатинської міської ради</v>
      </c>
      <c r="G296" s="1" t="str">
        <f>"Юридична особа"</f>
        <v>Юридична особа</v>
      </c>
      <c r="H296" s="1" t="str">
        <f>"СФГ""Багрія Андрія Михайловича"""</f>
        <v>СФГ"Багрія Андрія Михайловича"</v>
      </c>
      <c r="I296" s="1" t="str">
        <f>"25067028"</f>
        <v>25067028</v>
      </c>
      <c r="J296" s="1" t="str">
        <f t="shared" si="38"/>
        <v>Закрито</v>
      </c>
      <c r="K296" s="5">
        <v>45600</v>
      </c>
      <c r="L296" s="1" t="str">
        <f>"150.0"</f>
        <v>150.0</v>
      </c>
      <c r="M296" s="1" t="s">
        <v>22</v>
      </c>
      <c r="N296" s="5">
        <v>45600</v>
      </c>
    </row>
    <row r="297" spans="1:14" x14ac:dyDescent="0.3">
      <c r="A297" s="1" t="str">
        <f>"2_1820/2129-11/2024/С"</f>
        <v>2_1820/2129-11/2024/С</v>
      </c>
      <c r="B297" s="6">
        <v>45600</v>
      </c>
      <c r="C297" s="1" t="str">
        <f>"00042"</f>
        <v>00042</v>
      </c>
      <c r="D297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97" s="1" t="s">
        <v>20</v>
      </c>
      <c r="F297" s="1" t="str">
        <f t="shared" si="42"/>
        <v>Центр надання адміністративних послуг Рогатинської міської ради</v>
      </c>
      <c r="G297" s="1" t="str">
        <f>"Юридична особа"</f>
        <v>Юридична особа</v>
      </c>
      <c r="H297" s="1" t="str">
        <f>"СФГ""Багрія Андрія Михайловича"""</f>
        <v>СФГ"Багрія Андрія Михайловича"</v>
      </c>
      <c r="I297" s="1" t="str">
        <f>"25067028"</f>
        <v>25067028</v>
      </c>
      <c r="J297" s="1" t="str">
        <f t="shared" si="38"/>
        <v>Закрито</v>
      </c>
      <c r="K297" s="5">
        <v>45600</v>
      </c>
      <c r="L297" s="1" t="str">
        <f>"150.0"</f>
        <v>150.0</v>
      </c>
      <c r="M297" s="1" t="s">
        <v>22</v>
      </c>
      <c r="N297" s="5">
        <v>45600</v>
      </c>
    </row>
    <row r="298" spans="1:14" x14ac:dyDescent="0.3">
      <c r="A298" s="1" t="str">
        <f>"2_1821/2129-11/2024/С"</f>
        <v>2_1821/2129-11/2024/С</v>
      </c>
      <c r="B298" s="6">
        <v>45600</v>
      </c>
      <c r="C298" s="1" t="str">
        <f>"00042"</f>
        <v>00042</v>
      </c>
      <c r="D298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98" s="1" t="s">
        <v>20</v>
      </c>
      <c r="F298" s="1" t="str">
        <f t="shared" si="42"/>
        <v>Центр надання адміністративних послуг Рогатинської міської ради</v>
      </c>
      <c r="G298" s="1" t="str">
        <f>"Юридична особа"</f>
        <v>Юридична особа</v>
      </c>
      <c r="H298" s="1" t="str">
        <f>"СФГ""Багрія Андрія Михайловича"""</f>
        <v>СФГ"Багрія Андрія Михайловича"</v>
      </c>
      <c r="I298" s="1" t="str">
        <f>"25067028"</f>
        <v>25067028</v>
      </c>
      <c r="J298" s="1" t="str">
        <f t="shared" ref="J298:J326" si="43">"Закрито"</f>
        <v>Закрито</v>
      </c>
      <c r="K298" s="5">
        <v>45600</v>
      </c>
      <c r="L298" s="1" t="str">
        <f>"150.0"</f>
        <v>150.0</v>
      </c>
      <c r="M298" s="1" t="s">
        <v>22</v>
      </c>
      <c r="N298" s="5">
        <v>45600</v>
      </c>
    </row>
    <row r="299" spans="1:14" x14ac:dyDescent="0.3">
      <c r="A299" s="1" t="str">
        <f>"2_1822/2129-11/2024/Ц"</f>
        <v>2_1822/2129-11/2024/Ц</v>
      </c>
      <c r="B299" s="6">
        <v>45600</v>
      </c>
      <c r="C299" s="1" t="str">
        <f>"00041"</f>
        <v>00041</v>
      </c>
      <c r="D29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99" s="1" t="s">
        <v>20</v>
      </c>
      <c r="F299" s="1" t="str">
        <f t="shared" si="42"/>
        <v>Центр надання адміністративних послуг Рогатинської міської ради</v>
      </c>
      <c r="G299" s="1" t="str">
        <f t="shared" ref="G299:G313" si="44">"Фізична особа"</f>
        <v>Фізична особа</v>
      </c>
      <c r="H299" s="1" t="s">
        <v>20</v>
      </c>
      <c r="I299" s="1" t="s">
        <v>20</v>
      </c>
      <c r="J299" s="1" t="str">
        <f t="shared" si="43"/>
        <v>Закрито</v>
      </c>
      <c r="K299" s="5">
        <v>45600</v>
      </c>
      <c r="L299" s="1" t="s">
        <v>20</v>
      </c>
      <c r="M299" s="1" t="s">
        <v>22</v>
      </c>
      <c r="N299" s="5">
        <v>45600</v>
      </c>
    </row>
    <row r="300" spans="1:14" x14ac:dyDescent="0.3">
      <c r="A300" s="1" t="str">
        <f>"1_5621/2129-11/2024/Р"</f>
        <v>1_5621/2129-11/2024/Р</v>
      </c>
      <c r="B300" s="6">
        <v>45600</v>
      </c>
      <c r="C300" s="1" t="str">
        <f>"00038"</f>
        <v>00038</v>
      </c>
      <c r="D30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0" s="1" t="s">
        <v>20</v>
      </c>
      <c r="F300" s="1" t="str">
        <f t="shared" si="42"/>
        <v>Центр надання адміністративних послуг Рогатинської міської ради</v>
      </c>
      <c r="G300" s="1" t="str">
        <f t="shared" si="44"/>
        <v>Фізична особа</v>
      </c>
      <c r="H300" s="1" t="s">
        <v>20</v>
      </c>
      <c r="I300" s="1" t="s">
        <v>20</v>
      </c>
      <c r="J300" s="1" t="str">
        <f t="shared" si="43"/>
        <v>Закрито</v>
      </c>
      <c r="K300" s="8">
        <v>45600</v>
      </c>
      <c r="L300" s="1" t="s">
        <v>20</v>
      </c>
      <c r="M300" s="1" t="s">
        <v>22</v>
      </c>
      <c r="N300" s="5">
        <v>45600</v>
      </c>
    </row>
    <row r="301" spans="1:14" x14ac:dyDescent="0.3">
      <c r="A301" s="1" t="str">
        <f>"1_5622/2129-11/2024/В"</f>
        <v>1_5622/2129-11/2024/В</v>
      </c>
      <c r="B301" s="6">
        <v>45600</v>
      </c>
      <c r="C301" s="1" t="str">
        <f>"00038"</f>
        <v>00038</v>
      </c>
      <c r="D30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1" s="1" t="s">
        <v>20</v>
      </c>
      <c r="F301" s="1" t="str">
        <f t="shared" si="42"/>
        <v>Центр надання адміністративних послуг Рогатинської міської ради</v>
      </c>
      <c r="G301" s="1" t="str">
        <f t="shared" si="44"/>
        <v>Фізична особа</v>
      </c>
      <c r="H301" s="1" t="s">
        <v>20</v>
      </c>
      <c r="I301" s="1" t="s">
        <v>20</v>
      </c>
      <c r="J301" s="1" t="str">
        <f t="shared" si="43"/>
        <v>Закрито</v>
      </c>
      <c r="K301" s="8">
        <v>45600</v>
      </c>
      <c r="L301" s="1" t="s">
        <v>20</v>
      </c>
      <c r="M301" s="1" t="s">
        <v>22</v>
      </c>
      <c r="N301" s="5">
        <v>45600</v>
      </c>
    </row>
    <row r="302" spans="1:14" x14ac:dyDescent="0.3">
      <c r="A302" s="1" t="str">
        <f>"14_941-11/2024/Д"</f>
        <v>14_941-11/2024/Д</v>
      </c>
      <c r="B302" s="6">
        <v>45600</v>
      </c>
      <c r="C302" s="1" t="str">
        <f>"00038"</f>
        <v>00038</v>
      </c>
      <c r="D30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2" s="1" t="s">
        <v>20</v>
      </c>
      <c r="F302" s="1" t="str">
        <f t="shared" si="42"/>
        <v>Центр надання адміністративних послуг Рогатинської міської ради</v>
      </c>
      <c r="G302" s="1" t="str">
        <f t="shared" si="44"/>
        <v>Фізична особа</v>
      </c>
      <c r="H302" s="1" t="s">
        <v>20</v>
      </c>
      <c r="I302" s="1" t="s">
        <v>20</v>
      </c>
      <c r="J302" s="1" t="str">
        <f t="shared" si="43"/>
        <v>Закрито</v>
      </c>
      <c r="K302" s="5">
        <v>45600</v>
      </c>
      <c r="L302" s="1" t="s">
        <v>20</v>
      </c>
      <c r="M302" s="1" t="s">
        <v>22</v>
      </c>
      <c r="N302" s="5">
        <v>45600</v>
      </c>
    </row>
    <row r="303" spans="1:14" x14ac:dyDescent="0.3">
      <c r="A303" s="1" t="str">
        <f>"4_1219/03193413-11/2024/Х"</f>
        <v>4_1219/03193413-11/2024/Х</v>
      </c>
      <c r="B303" s="6">
        <v>45600</v>
      </c>
      <c r="C303" s="1" t="str">
        <f>"00133"</f>
        <v>00133</v>
      </c>
      <c r="D303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03" s="1" t="str">
        <f>"03193413"</f>
        <v>03193413</v>
      </c>
      <c r="F30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3" s="1" t="str">
        <f t="shared" si="44"/>
        <v>Фізична особа</v>
      </c>
      <c r="H303" s="1" t="s">
        <v>20</v>
      </c>
      <c r="I303" s="1" t="s">
        <v>20</v>
      </c>
      <c r="J303" s="1" t="str">
        <f t="shared" si="43"/>
        <v>Закрито</v>
      </c>
      <c r="K303" s="5">
        <v>45615</v>
      </c>
      <c r="L303" s="1" t="s">
        <v>20</v>
      </c>
      <c r="M303" s="1" t="s">
        <v>22</v>
      </c>
      <c r="N303" s="5">
        <v>45615</v>
      </c>
    </row>
    <row r="304" spans="1:14" x14ac:dyDescent="0.3">
      <c r="A304" s="1" t="str">
        <f>"14_942-11/2024/Д"</f>
        <v>14_942-11/2024/Д</v>
      </c>
      <c r="B304" s="6">
        <v>45600</v>
      </c>
      <c r="C304" s="1" t="str">
        <f>"00038"</f>
        <v>00038</v>
      </c>
      <c r="D30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4" s="1" t="s">
        <v>20</v>
      </c>
      <c r="F30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4" s="1" t="str">
        <f t="shared" si="44"/>
        <v>Фізична особа</v>
      </c>
      <c r="H304" s="1" t="s">
        <v>20</v>
      </c>
      <c r="I304" s="1" t="s">
        <v>20</v>
      </c>
      <c r="J304" s="1" t="str">
        <f t="shared" si="43"/>
        <v>Закрито</v>
      </c>
      <c r="K304" s="5">
        <v>45600</v>
      </c>
      <c r="L304" s="1" t="s">
        <v>20</v>
      </c>
      <c r="M304" s="1" t="s">
        <v>22</v>
      </c>
      <c r="N304" s="5">
        <v>45600</v>
      </c>
    </row>
    <row r="305" spans="1:14" x14ac:dyDescent="0.3">
      <c r="A305" s="1" t="str">
        <f>"4_1220/03193413-11/2024/Х"</f>
        <v>4_1220/03193413-11/2024/Х</v>
      </c>
      <c r="B305" s="6">
        <v>45600</v>
      </c>
      <c r="C305" s="1" t="str">
        <f>"00150"</f>
        <v>00150</v>
      </c>
      <c r="D305" s="2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305" s="1" t="str">
        <f>"03193413"</f>
        <v>03193413</v>
      </c>
      <c r="F30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5" s="1" t="str">
        <f t="shared" si="44"/>
        <v>Фізична особа</v>
      </c>
      <c r="H305" s="1" t="s">
        <v>20</v>
      </c>
      <c r="I305" s="1" t="s">
        <v>20</v>
      </c>
      <c r="J305" s="1" t="str">
        <f t="shared" si="43"/>
        <v>Закрито</v>
      </c>
      <c r="K305" s="5">
        <v>45615</v>
      </c>
      <c r="L305" s="1" t="s">
        <v>20</v>
      </c>
      <c r="M305" s="1" t="s">
        <v>22</v>
      </c>
      <c r="N305" s="5">
        <v>45615</v>
      </c>
    </row>
    <row r="306" spans="1:14" x14ac:dyDescent="0.3">
      <c r="A306" s="1" t="str">
        <f>"14_943-11/2024/Д"</f>
        <v>14_943-11/2024/Д</v>
      </c>
      <c r="B306" s="6">
        <v>45600</v>
      </c>
      <c r="C306" s="1" t="str">
        <f>"00038"</f>
        <v>00038</v>
      </c>
      <c r="D30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6" s="1" t="s">
        <v>20</v>
      </c>
      <c r="F30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6" s="1" t="str">
        <f t="shared" si="44"/>
        <v>Фізична особа</v>
      </c>
      <c r="H306" s="1" t="s">
        <v>20</v>
      </c>
      <c r="I306" s="1" t="s">
        <v>20</v>
      </c>
      <c r="J306" s="1" t="str">
        <f t="shared" si="43"/>
        <v>Закрито</v>
      </c>
      <c r="K306" s="5">
        <v>45600</v>
      </c>
      <c r="L306" s="1" t="s">
        <v>20</v>
      </c>
      <c r="M306" s="1" t="s">
        <v>22</v>
      </c>
      <c r="N306" s="5">
        <v>45600</v>
      </c>
    </row>
    <row r="307" spans="1:14" x14ac:dyDescent="0.3">
      <c r="A307" s="1" t="str">
        <f>"4_1221/03193413-11/2024/Ш"</f>
        <v>4_1221/03193413-11/2024/Ш</v>
      </c>
      <c r="B307" s="6">
        <v>45600</v>
      </c>
      <c r="C307" s="1" t="str">
        <f>"00133"</f>
        <v>00133</v>
      </c>
      <c r="D307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07" s="1" t="str">
        <f>"03193413"</f>
        <v>03193413</v>
      </c>
      <c r="F30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7" s="1" t="str">
        <f t="shared" si="44"/>
        <v>Фізична особа</v>
      </c>
      <c r="H307" s="1" t="s">
        <v>20</v>
      </c>
      <c r="I307" s="1" t="s">
        <v>20</v>
      </c>
      <c r="J307" s="1" t="str">
        <f t="shared" si="43"/>
        <v>Закрито</v>
      </c>
      <c r="K307" s="5">
        <v>45615</v>
      </c>
      <c r="L307" s="1" t="s">
        <v>20</v>
      </c>
      <c r="M307" s="1" t="s">
        <v>22</v>
      </c>
      <c r="N307" s="5">
        <v>45615</v>
      </c>
    </row>
    <row r="308" spans="1:14" x14ac:dyDescent="0.3">
      <c r="A308" s="1" t="str">
        <f>"2_1823/04054323-11/2024/Ж"</f>
        <v>2_1823/04054323-11/2024/Ж</v>
      </c>
      <c r="B308" s="6">
        <v>45600</v>
      </c>
      <c r="C308" s="1" t="str">
        <f>"00153"</f>
        <v>00153</v>
      </c>
      <c r="D308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308" s="1" t="str">
        <f>"04054323"</f>
        <v>04054323</v>
      </c>
      <c r="F308" s="1" t="str">
        <f>"Рогатинська міська рада"</f>
        <v>Рогатинська міська рада</v>
      </c>
      <c r="G308" s="1" t="str">
        <f t="shared" si="44"/>
        <v>Фізична особа</v>
      </c>
      <c r="H308" s="1" t="s">
        <v>20</v>
      </c>
      <c r="I308" s="1" t="s">
        <v>20</v>
      </c>
      <c r="J308" s="1" t="str">
        <f t="shared" si="43"/>
        <v>Закрито</v>
      </c>
      <c r="K308" s="5">
        <v>45628</v>
      </c>
      <c r="L308" s="1" t="s">
        <v>20</v>
      </c>
      <c r="M308" s="1" t="s">
        <v>22</v>
      </c>
      <c r="N308" s="5">
        <v>45628</v>
      </c>
    </row>
    <row r="309" spans="1:14" x14ac:dyDescent="0.3">
      <c r="A309" s="1" t="str">
        <f>"14_944-11/2024/Г"</f>
        <v>14_944-11/2024/Г</v>
      </c>
      <c r="B309" s="6">
        <v>45600</v>
      </c>
      <c r="C309" s="1" t="str">
        <f>"00038"</f>
        <v>00038</v>
      </c>
      <c r="D30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9" s="1" t="s">
        <v>20</v>
      </c>
      <c r="F30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9" s="1" t="str">
        <f t="shared" si="44"/>
        <v>Фізична особа</v>
      </c>
      <c r="H309" s="1" t="s">
        <v>20</v>
      </c>
      <c r="I309" s="1" t="s">
        <v>20</v>
      </c>
      <c r="J309" s="1" t="str">
        <f t="shared" si="43"/>
        <v>Закрито</v>
      </c>
      <c r="K309" s="5">
        <v>45600</v>
      </c>
      <c r="L309" s="1" t="s">
        <v>20</v>
      </c>
      <c r="M309" s="1" t="s">
        <v>22</v>
      </c>
      <c r="N309" s="5">
        <v>45600</v>
      </c>
    </row>
    <row r="310" spans="1:14" x14ac:dyDescent="0.3">
      <c r="A310" s="1" t="str">
        <f>"2_1824/2129-11/2024/Р"</f>
        <v>2_1824/2129-11/2024/Р</v>
      </c>
      <c r="B310" s="6">
        <v>45600</v>
      </c>
      <c r="C310" s="1" t="str">
        <f>"01376"</f>
        <v>01376</v>
      </c>
      <c r="D310" s="2" t="str">
        <f>"Реєстрація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(СС1)"</f>
        <v>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</v>
      </c>
      <c r="E310" s="1" t="s">
        <v>20</v>
      </c>
      <c r="F31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0" s="1" t="str">
        <f t="shared" si="44"/>
        <v>Фізична особа</v>
      </c>
      <c r="H310" s="1" t="s">
        <v>20</v>
      </c>
      <c r="I310" s="1" t="s">
        <v>20</v>
      </c>
      <c r="J310" s="1" t="str">
        <f t="shared" si="43"/>
        <v>Закрито</v>
      </c>
      <c r="K310" s="5">
        <v>45604</v>
      </c>
      <c r="L310" s="1" t="s">
        <v>20</v>
      </c>
      <c r="M310" s="1" t="s">
        <v>22</v>
      </c>
      <c r="N310" s="5">
        <v>45604</v>
      </c>
    </row>
    <row r="311" spans="1:14" x14ac:dyDescent="0.3">
      <c r="A311" s="1" t="str">
        <f>"3_815-11/2024/С"</f>
        <v>3_815-11/2024/С</v>
      </c>
      <c r="B311" s="6">
        <v>45600</v>
      </c>
      <c r="C311" s="1" t="str">
        <f>"00155"</f>
        <v>00155</v>
      </c>
      <c r="D311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1" s="1" t="str">
        <f>"03193413"</f>
        <v>03193413</v>
      </c>
      <c r="F31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1" s="1" t="str">
        <f t="shared" si="44"/>
        <v>Фізична особа</v>
      </c>
      <c r="H311" s="1" t="s">
        <v>20</v>
      </c>
      <c r="I311" s="1" t="s">
        <v>20</v>
      </c>
      <c r="J311" s="1" t="str">
        <f t="shared" si="43"/>
        <v>Закрито</v>
      </c>
      <c r="K311" s="5">
        <v>45611</v>
      </c>
      <c r="L311" s="1" t="s">
        <v>20</v>
      </c>
      <c r="M311" s="1" t="s">
        <v>22</v>
      </c>
      <c r="N311" s="5">
        <v>45611</v>
      </c>
    </row>
    <row r="312" spans="1:14" x14ac:dyDescent="0.3">
      <c r="A312" s="1" t="str">
        <f>"3_816-11/2024/С"</f>
        <v>3_816-11/2024/С</v>
      </c>
      <c r="B312" s="6">
        <v>45600</v>
      </c>
      <c r="C312" s="1" t="str">
        <f>"33"</f>
        <v>33</v>
      </c>
      <c r="D312" s="2" t="str">
        <f>"33 Довідки різного характеру"</f>
        <v>33 Довідки різного характеру</v>
      </c>
      <c r="E312" s="1" t="s">
        <v>20</v>
      </c>
      <c r="F31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2" s="1" t="str">
        <f t="shared" si="44"/>
        <v>Фізична особа</v>
      </c>
      <c r="H312" s="1" t="s">
        <v>20</v>
      </c>
      <c r="I312" s="1" t="s">
        <v>20</v>
      </c>
      <c r="J312" s="1" t="str">
        <f t="shared" si="43"/>
        <v>Закрито</v>
      </c>
      <c r="K312" s="5">
        <v>45600</v>
      </c>
      <c r="L312" s="1" t="s">
        <v>20</v>
      </c>
      <c r="M312" s="1" t="s">
        <v>22</v>
      </c>
      <c r="N312" s="5">
        <v>45600</v>
      </c>
    </row>
    <row r="313" spans="1:14" x14ac:dyDescent="0.3">
      <c r="A313" s="1" t="str">
        <f>"8_514-11/2024/П"</f>
        <v>8_514-11/2024/П</v>
      </c>
      <c r="B313" s="6">
        <v>45600</v>
      </c>
      <c r="C313" s="1" t="str">
        <f>"00133"</f>
        <v>00133</v>
      </c>
      <c r="D313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13" s="1" t="str">
        <f>"03193413"</f>
        <v>03193413</v>
      </c>
      <c r="F31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3" s="1" t="str">
        <f t="shared" si="44"/>
        <v>Фізична особа</v>
      </c>
      <c r="H313" s="1" t="s">
        <v>20</v>
      </c>
      <c r="I313" s="1" t="s">
        <v>20</v>
      </c>
      <c r="J313" s="1" t="str">
        <f t="shared" si="43"/>
        <v>Закрито</v>
      </c>
      <c r="K313" s="5">
        <v>45603</v>
      </c>
      <c r="L313" s="1" t="s">
        <v>20</v>
      </c>
      <c r="M313" s="1" t="s">
        <v>22</v>
      </c>
      <c r="N313" s="5">
        <v>45603</v>
      </c>
    </row>
    <row r="314" spans="1:14" x14ac:dyDescent="0.3">
      <c r="A314" s="1" t="str">
        <f>"2_1825/2129-11/2024/с"</f>
        <v>2_1825/2129-11/2024/с</v>
      </c>
      <c r="B314" s="6">
        <v>45600</v>
      </c>
      <c r="C314" s="1" t="str">
        <f>"00042"</f>
        <v>00042</v>
      </c>
      <c r="D314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14" s="1" t="s">
        <v>20</v>
      </c>
      <c r="F314" s="1" t="str">
        <f t="shared" ref="F314:F325" si="45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4" s="1" t="str">
        <f>"Юридична особа"</f>
        <v>Юридична особа</v>
      </c>
      <c r="H314" s="1" t="str">
        <f>"селянсько-фермерське господарство ""Багрія Андрія Михайловича"""</f>
        <v>селянсько-фермерське господарство "Багрія Андрія Михайловича"</v>
      </c>
      <c r="I314" s="1" t="str">
        <f>"25067028"</f>
        <v>25067028</v>
      </c>
      <c r="J314" s="1" t="str">
        <f t="shared" si="43"/>
        <v>Закрито</v>
      </c>
      <c r="K314" s="5">
        <v>45600</v>
      </c>
      <c r="L314" s="1" t="s">
        <v>20</v>
      </c>
      <c r="M314" s="1" t="s">
        <v>22</v>
      </c>
      <c r="N314" s="5">
        <v>45600</v>
      </c>
    </row>
    <row r="315" spans="1:14" x14ac:dyDescent="0.3">
      <c r="A315" s="1" t="str">
        <f>"2_1826/2129-11/2024/О"</f>
        <v>2_1826/2129-11/2024/О</v>
      </c>
      <c r="B315" s="6">
        <v>45600</v>
      </c>
      <c r="C315" s="1" t="str">
        <f>"00047"</f>
        <v>00047</v>
      </c>
      <c r="D315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315" s="1" t="s">
        <v>20</v>
      </c>
      <c r="F315" s="1" t="str">
        <f t="shared" si="45"/>
        <v>Центр надання адміністративних послуг Рогатинської міської ради</v>
      </c>
      <c r="G315" s="1" t="str">
        <f>"Фізична особа"</f>
        <v>Фізична особа</v>
      </c>
      <c r="H315" s="1" t="s">
        <v>20</v>
      </c>
      <c r="I315" s="1" t="s">
        <v>20</v>
      </c>
      <c r="J315" s="1" t="str">
        <f t="shared" si="43"/>
        <v>Закрито</v>
      </c>
      <c r="K315" s="5">
        <v>45600</v>
      </c>
      <c r="L315" s="1" t="s">
        <v>20</v>
      </c>
      <c r="M315" s="1" t="s">
        <v>22</v>
      </c>
      <c r="N315" s="5">
        <v>45600</v>
      </c>
    </row>
    <row r="316" spans="1:14" x14ac:dyDescent="0.3">
      <c r="A316" s="1" t="str">
        <f>"2_1827/2129-11/2024/Б"</f>
        <v>2_1827/2129-11/2024/Б</v>
      </c>
      <c r="B316" s="6">
        <v>45600</v>
      </c>
      <c r="C316" s="1" t="str">
        <f>"00041"</f>
        <v>00041</v>
      </c>
      <c r="D31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16" s="1" t="s">
        <v>20</v>
      </c>
      <c r="F316" s="1" t="str">
        <f t="shared" si="45"/>
        <v>Центр надання адміністративних послуг Рогатинської міської ради</v>
      </c>
      <c r="G316" s="1" t="str">
        <f>"Фізична особа"</f>
        <v>Фізична особа</v>
      </c>
      <c r="H316" s="1" t="s">
        <v>20</v>
      </c>
      <c r="I316" s="1" t="s">
        <v>20</v>
      </c>
      <c r="J316" s="1" t="str">
        <f t="shared" si="43"/>
        <v>Закрито</v>
      </c>
      <c r="K316" s="5">
        <v>45600</v>
      </c>
      <c r="L316" s="1" t="s">
        <v>20</v>
      </c>
      <c r="M316" s="1" t="s">
        <v>22</v>
      </c>
      <c r="N316" s="5">
        <v>45600</v>
      </c>
    </row>
    <row r="317" spans="1:14" x14ac:dyDescent="0.3">
      <c r="A317" s="1" t="str">
        <f>"2_1828/2129-11/2024/К"</f>
        <v>2_1828/2129-11/2024/К</v>
      </c>
      <c r="B317" s="6">
        <v>45600</v>
      </c>
      <c r="C317" s="1" t="str">
        <f>"00047"</f>
        <v>00047</v>
      </c>
      <c r="D317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317" s="1" t="s">
        <v>20</v>
      </c>
      <c r="F317" s="1" t="str">
        <f t="shared" si="45"/>
        <v>Центр надання адміністративних послуг Рогатинської міської ради</v>
      </c>
      <c r="G317" s="1" t="str">
        <f>"Фізична особа"</f>
        <v>Фізична особа</v>
      </c>
      <c r="H317" s="1" t="s">
        <v>20</v>
      </c>
      <c r="I317" s="1" t="s">
        <v>20</v>
      </c>
      <c r="J317" s="1" t="str">
        <f t="shared" si="43"/>
        <v>Закрито</v>
      </c>
      <c r="K317" s="5">
        <v>45600</v>
      </c>
      <c r="L317" s="1" t="s">
        <v>20</v>
      </c>
      <c r="M317" s="1" t="s">
        <v>22</v>
      </c>
      <c r="N317" s="5">
        <v>45600</v>
      </c>
    </row>
    <row r="318" spans="1:14" x14ac:dyDescent="0.3">
      <c r="A318" s="1" t="str">
        <f>"2_1829/2129-11/2024/Г"</f>
        <v>2_1829/2129-11/2024/Г</v>
      </c>
      <c r="B318" s="6">
        <v>45600</v>
      </c>
      <c r="C318" s="1" t="str">
        <f>"00041"</f>
        <v>00041</v>
      </c>
      <c r="D31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18" s="1" t="s">
        <v>20</v>
      </c>
      <c r="F318" s="1" t="str">
        <f t="shared" si="45"/>
        <v>Центр надання адміністративних послуг Рогатинської міської ради</v>
      </c>
      <c r="G318" s="1" t="str">
        <f>"Фізична особа"</f>
        <v>Фізична особа</v>
      </c>
      <c r="H318" s="1" t="s">
        <v>20</v>
      </c>
      <c r="I318" s="1" t="s">
        <v>20</v>
      </c>
      <c r="J318" s="1" t="str">
        <f t="shared" si="43"/>
        <v>Закрито</v>
      </c>
      <c r="K318" s="5">
        <v>45600</v>
      </c>
      <c r="L318" s="1" t="s">
        <v>20</v>
      </c>
      <c r="M318" s="1" t="s">
        <v>22</v>
      </c>
      <c r="N318" s="5">
        <v>45600</v>
      </c>
    </row>
    <row r="319" spans="1:14" x14ac:dyDescent="0.3">
      <c r="A319" s="1" t="str">
        <f>"2_1830/2129-11/2024/Г"</f>
        <v>2_1830/2129-11/2024/Г</v>
      </c>
      <c r="B319" s="6">
        <v>45600</v>
      </c>
      <c r="C319" s="1" t="str">
        <f>"00041"</f>
        <v>00041</v>
      </c>
      <c r="D31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19" s="1" t="s">
        <v>20</v>
      </c>
      <c r="F319" s="1" t="str">
        <f t="shared" si="45"/>
        <v>Центр надання адміністративних послуг Рогатинської міської ради</v>
      </c>
      <c r="G319" s="1" t="str">
        <f>"Фізична особа"</f>
        <v>Фізична особа</v>
      </c>
      <c r="H319" s="1" t="s">
        <v>20</v>
      </c>
      <c r="I319" s="1" t="s">
        <v>20</v>
      </c>
      <c r="J319" s="1" t="str">
        <f t="shared" si="43"/>
        <v>Закрито</v>
      </c>
      <c r="K319" s="5">
        <v>45600</v>
      </c>
      <c r="L319" s="1" t="s">
        <v>20</v>
      </c>
      <c r="M319" s="1" t="s">
        <v>22</v>
      </c>
      <c r="N319" s="5">
        <v>45600</v>
      </c>
    </row>
    <row r="320" spans="1:14" x14ac:dyDescent="0.3">
      <c r="A320" s="1" t="str">
        <f>"2_1831/2129-11/2024/с"</f>
        <v>2_1831/2129-11/2024/с</v>
      </c>
      <c r="B320" s="6">
        <v>45600</v>
      </c>
      <c r="C320" s="1" t="str">
        <f>"00042"</f>
        <v>00042</v>
      </c>
      <c r="D320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20" s="1" t="s">
        <v>20</v>
      </c>
      <c r="F320" s="1" t="str">
        <f t="shared" si="45"/>
        <v>Центр надання адміністративних послуг Рогатинської міської ради</v>
      </c>
      <c r="G320" s="1" t="str">
        <f>"Юридична особа"</f>
        <v>Юридична особа</v>
      </c>
      <c r="H320" s="1" t="str">
        <f>"селянсько-фермерське господарство ""Багрія Андрія Михайловича"""</f>
        <v>селянсько-фермерське господарство "Багрія Андрія Михайловича"</v>
      </c>
      <c r="I320" s="1" t="str">
        <f>"25067028"</f>
        <v>25067028</v>
      </c>
      <c r="J320" s="1" t="str">
        <f t="shared" si="43"/>
        <v>Закрито</v>
      </c>
      <c r="K320" s="5">
        <v>45600</v>
      </c>
      <c r="L320" s="1" t="s">
        <v>20</v>
      </c>
      <c r="M320" s="1" t="s">
        <v>22</v>
      </c>
      <c r="N320" s="5">
        <v>45600</v>
      </c>
    </row>
    <row r="321" spans="1:14" x14ac:dyDescent="0.3">
      <c r="A321" s="1" t="str">
        <f>"2_1832/2129-11/2024/Г"</f>
        <v>2_1832/2129-11/2024/Г</v>
      </c>
      <c r="B321" s="6">
        <v>45600</v>
      </c>
      <c r="C321" s="1" t="str">
        <f>"00041"</f>
        <v>00041</v>
      </c>
      <c r="D32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21" s="1" t="s">
        <v>20</v>
      </c>
      <c r="F321" s="1" t="str">
        <f t="shared" si="45"/>
        <v>Центр надання адміністративних послуг Рогатинської міської ради</v>
      </c>
      <c r="G321" s="1" t="str">
        <f>"Фізична особа"</f>
        <v>Фізична особа</v>
      </c>
      <c r="H321" s="1" t="s">
        <v>20</v>
      </c>
      <c r="I321" s="1" t="s">
        <v>20</v>
      </c>
      <c r="J321" s="1" t="str">
        <f t="shared" si="43"/>
        <v>Закрито</v>
      </c>
      <c r="K321" s="5">
        <v>45600</v>
      </c>
      <c r="L321" s="1" t="s">
        <v>20</v>
      </c>
      <c r="M321" s="1" t="s">
        <v>22</v>
      </c>
      <c r="N321" s="5">
        <v>45600</v>
      </c>
    </row>
    <row r="322" spans="1:14" x14ac:dyDescent="0.3">
      <c r="A322" s="1" t="str">
        <f>"14_945-11/2024/Т"</f>
        <v>14_945-11/2024/Т</v>
      </c>
      <c r="B322" s="6">
        <v>45600</v>
      </c>
      <c r="C322" s="1" t="str">
        <f>"00038"</f>
        <v>00038</v>
      </c>
      <c r="D32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22" s="1" t="s">
        <v>20</v>
      </c>
      <c r="F322" s="1" t="str">
        <f t="shared" si="45"/>
        <v>Центр надання адміністративних послуг Рогатинської міської ради</v>
      </c>
      <c r="G322" s="1" t="str">
        <f>"Фізична особа"</f>
        <v>Фізична особа</v>
      </c>
      <c r="H322" s="1" t="s">
        <v>20</v>
      </c>
      <c r="I322" s="1" t="s">
        <v>20</v>
      </c>
      <c r="J322" s="1" t="str">
        <f t="shared" si="43"/>
        <v>Закрито</v>
      </c>
      <c r="K322" s="5">
        <v>45600</v>
      </c>
      <c r="L322" s="1" t="s">
        <v>20</v>
      </c>
      <c r="M322" s="1" t="s">
        <v>22</v>
      </c>
      <c r="N322" s="5">
        <v>45600</v>
      </c>
    </row>
    <row r="323" spans="1:14" x14ac:dyDescent="0.3">
      <c r="A323" s="1" t="str">
        <f>"2_1833/2129-11/2024/Ж"</f>
        <v>2_1833/2129-11/2024/Ж</v>
      </c>
      <c r="B323" s="6">
        <v>45600</v>
      </c>
      <c r="C323" s="1" t="str">
        <f>"00041"</f>
        <v>00041</v>
      </c>
      <c r="D323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23" s="1" t="s">
        <v>20</v>
      </c>
      <c r="F323" s="1" t="str">
        <f t="shared" si="45"/>
        <v>Центр надання адміністративних послуг Рогатинської міської ради</v>
      </c>
      <c r="G323" s="1" t="str">
        <f>"Фізична особа"</f>
        <v>Фізична особа</v>
      </c>
      <c r="H323" s="1" t="s">
        <v>20</v>
      </c>
      <c r="I323" s="1" t="s">
        <v>20</v>
      </c>
      <c r="J323" s="1" t="str">
        <f t="shared" si="43"/>
        <v>Закрито</v>
      </c>
      <c r="K323" s="5">
        <v>45600</v>
      </c>
      <c r="L323" s="1" t="s">
        <v>20</v>
      </c>
      <c r="M323" s="1" t="s">
        <v>22</v>
      </c>
      <c r="N323" s="5">
        <v>45600</v>
      </c>
    </row>
    <row r="324" spans="1:14" x14ac:dyDescent="0.3">
      <c r="A324" s="1" t="str">
        <f>"14_946-11/2024/П"</f>
        <v>14_946-11/2024/П</v>
      </c>
      <c r="B324" s="6">
        <v>45600</v>
      </c>
      <c r="C324" s="1" t="str">
        <f>"00038"</f>
        <v>00038</v>
      </c>
      <c r="D32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24" s="1" t="s">
        <v>20</v>
      </c>
      <c r="F324" s="1" t="str">
        <f t="shared" si="45"/>
        <v>Центр надання адміністративних послуг Рогатинської міської ради</v>
      </c>
      <c r="G324" s="1" t="str">
        <f>"Фізична особа"</f>
        <v>Фізична особа</v>
      </c>
      <c r="H324" s="1" t="s">
        <v>20</v>
      </c>
      <c r="I324" s="1" t="s">
        <v>20</v>
      </c>
      <c r="J324" s="1" t="str">
        <f t="shared" si="43"/>
        <v>Закрито</v>
      </c>
      <c r="K324" s="5">
        <v>45600</v>
      </c>
      <c r="L324" s="1" t="s">
        <v>20</v>
      </c>
      <c r="M324" s="1" t="s">
        <v>22</v>
      </c>
      <c r="N324" s="5">
        <v>45600</v>
      </c>
    </row>
    <row r="325" spans="1:14" x14ac:dyDescent="0.3">
      <c r="A325" s="1" t="str">
        <f>"2_1834/2129-11/2024/с"</f>
        <v>2_1834/2129-11/2024/с</v>
      </c>
      <c r="B325" s="6">
        <v>45600</v>
      </c>
      <c r="C325" s="1" t="str">
        <f>"00042"</f>
        <v>00042</v>
      </c>
      <c r="D325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25" s="1" t="s">
        <v>20</v>
      </c>
      <c r="F325" s="1" t="str">
        <f t="shared" si="45"/>
        <v>Центр надання адміністративних послуг Рогатинської міської ради</v>
      </c>
      <c r="G325" s="1" t="str">
        <f>"Юридична особа"</f>
        <v>Юридична особа</v>
      </c>
      <c r="H325" s="1" t="str">
        <f>"селянсько-фермерське господарство ""Багрія Андрія Михайловича"""</f>
        <v>селянсько-фермерське господарство "Багрія Андрія Михайловича"</v>
      </c>
      <c r="I325" s="1" t="str">
        <f>"25067028"</f>
        <v>25067028</v>
      </c>
      <c r="J325" s="1" t="str">
        <f t="shared" si="43"/>
        <v>Закрито</v>
      </c>
      <c r="K325" s="5">
        <v>45600</v>
      </c>
      <c r="L325" s="1" t="s">
        <v>20</v>
      </c>
      <c r="M325" s="1" t="s">
        <v>22</v>
      </c>
      <c r="N325" s="5">
        <v>45600</v>
      </c>
    </row>
    <row r="326" spans="1:14" x14ac:dyDescent="0.3">
      <c r="A326" s="1" t="str">
        <f>"23_430-11/2024/Г"</f>
        <v>23_430-11/2024/Г</v>
      </c>
      <c r="B326" s="6">
        <v>45600</v>
      </c>
      <c r="C326" s="1" t="str">
        <f>"00064"</f>
        <v>00064</v>
      </c>
      <c r="D326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326" s="1" t="s">
        <v>20</v>
      </c>
      <c r="F326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26" s="1" t="str">
        <f>"Фізична особа"</f>
        <v>Фізична особа</v>
      </c>
      <c r="H326" s="1" t="s">
        <v>20</v>
      </c>
      <c r="I326" s="1" t="s">
        <v>20</v>
      </c>
      <c r="J326" s="1" t="str">
        <f t="shared" si="43"/>
        <v>Закрито</v>
      </c>
      <c r="K326" s="5">
        <v>45600</v>
      </c>
      <c r="L326" s="1" t="s">
        <v>20</v>
      </c>
      <c r="M326" s="1" t="s">
        <v>22</v>
      </c>
      <c r="N326" s="5">
        <v>45600</v>
      </c>
    </row>
    <row r="327" spans="1:14" x14ac:dyDescent="0.3">
      <c r="A327" s="1" t="str">
        <f>"18_581-11/2024/Г"</f>
        <v>18_581-11/2024/Г</v>
      </c>
      <c r="B327" s="6">
        <v>45600</v>
      </c>
      <c r="C327" s="1" t="str">
        <f>"00155"</f>
        <v>00155</v>
      </c>
      <c r="D327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27" s="1" t="str">
        <f>"03193413"</f>
        <v>03193413</v>
      </c>
      <c r="F32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27" s="1" t="str">
        <f>"Фізична особа"</f>
        <v>Фізична особа</v>
      </c>
      <c r="H327" s="1" t="s">
        <v>20</v>
      </c>
      <c r="I327" s="1" t="s">
        <v>20</v>
      </c>
      <c r="J327" s="1" t="str">
        <f>"На обробці в СНАП"</f>
        <v>На обробці в СНАП</v>
      </c>
      <c r="K327" s="1" t="s">
        <v>20</v>
      </c>
      <c r="L327" s="1" t="s">
        <v>20</v>
      </c>
      <c r="M327" s="1" t="s">
        <v>22</v>
      </c>
      <c r="N327" s="1" t="s">
        <v>20</v>
      </c>
    </row>
    <row r="328" spans="1:14" x14ac:dyDescent="0.3">
      <c r="A328" s="1" t="str">
        <f>"2_1835/04054323-11/2024/Г"</f>
        <v>2_1835/04054323-11/2024/Г</v>
      </c>
      <c r="B328" s="6">
        <v>45600</v>
      </c>
      <c r="C328" s="1" t="str">
        <f>"00153"</f>
        <v>00153</v>
      </c>
      <c r="D328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328" s="1" t="str">
        <f>"04054323"</f>
        <v>04054323</v>
      </c>
      <c r="F328" s="1" t="str">
        <f>"Рогатинська міська рада"</f>
        <v>Рогатинська міська рада</v>
      </c>
      <c r="G328" s="1" t="str">
        <f>"Фізична особа"</f>
        <v>Фізична особа</v>
      </c>
      <c r="H328" s="1" t="s">
        <v>20</v>
      </c>
      <c r="I328" s="1" t="s">
        <v>20</v>
      </c>
      <c r="J328" s="1" t="str">
        <f>"Закрито"</f>
        <v>Закрито</v>
      </c>
      <c r="K328" s="5">
        <v>45628</v>
      </c>
      <c r="L328" s="1" t="s">
        <v>20</v>
      </c>
      <c r="M328" s="1" t="s">
        <v>22</v>
      </c>
      <c r="N328" s="5">
        <v>45628</v>
      </c>
    </row>
    <row r="329" spans="1:14" x14ac:dyDescent="0.3">
      <c r="A329" s="1" t="str">
        <f>"18_582-11/2024/Г"</f>
        <v>18_582-11/2024/Г</v>
      </c>
      <c r="B329" s="6">
        <v>45600</v>
      </c>
      <c r="C329" s="1" t="str">
        <f>"33"</f>
        <v>33</v>
      </c>
      <c r="D329" s="2" t="str">
        <f>"33 Довідки різного характеру"</f>
        <v>33 Довідки різного характеру</v>
      </c>
      <c r="E329" s="1" t="s">
        <v>20</v>
      </c>
      <c r="F32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29" s="1" t="str">
        <f>"Фізична особа"</f>
        <v>Фізична особа</v>
      </c>
      <c r="H329" s="1" t="s">
        <v>20</v>
      </c>
      <c r="I329" s="1" t="s">
        <v>20</v>
      </c>
      <c r="J329" s="1" t="str">
        <f>"Закрито"</f>
        <v>Закрито</v>
      </c>
      <c r="K329" s="5">
        <v>45600</v>
      </c>
      <c r="L329" s="1" t="s">
        <v>20</v>
      </c>
      <c r="M329" s="1" t="s">
        <v>22</v>
      </c>
      <c r="N329" s="5">
        <v>45600</v>
      </c>
    </row>
    <row r="330" spans="1:14" x14ac:dyDescent="0.3">
      <c r="A330" s="1" t="str">
        <f>"2_1836/2129-11/2024/с"</f>
        <v>2_1836/2129-11/2024/с</v>
      </c>
      <c r="B330" s="6">
        <v>45600</v>
      </c>
      <c r="C330" s="1" t="str">
        <f>"00042"</f>
        <v>00042</v>
      </c>
      <c r="D330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30" s="1" t="s">
        <v>20</v>
      </c>
      <c r="F3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0" s="1" t="str">
        <f>"Юридична особа"</f>
        <v>Юридична особа</v>
      </c>
      <c r="H330" s="1" t="str">
        <f>"селянсько-фермерське господарство ""Багрія Андрія Михайловича"""</f>
        <v>селянсько-фермерське господарство "Багрія Андрія Михайловича"</v>
      </c>
      <c r="I330" s="1" t="str">
        <f>"25067028"</f>
        <v>25067028</v>
      </c>
      <c r="J330" s="1" t="str">
        <f>"Реєстрація"</f>
        <v>Реєстрація</v>
      </c>
      <c r="K330" s="1" t="s">
        <v>20</v>
      </c>
      <c r="L330" s="1" t="s">
        <v>20</v>
      </c>
      <c r="M330" s="1" t="s">
        <v>22</v>
      </c>
      <c r="N330" s="1" t="s">
        <v>20</v>
      </c>
    </row>
    <row r="331" spans="1:14" x14ac:dyDescent="0.3">
      <c r="A331" s="1" t="str">
        <f>"18_583-11/2024/С"</f>
        <v>18_583-11/2024/С</v>
      </c>
      <c r="B331" s="6">
        <v>45600</v>
      </c>
      <c r="C331" s="1" t="str">
        <f>"01974"</f>
        <v>01974</v>
      </c>
      <c r="D331" s="2" t="str">
        <f>"Призначення пільги на оплату житла, комунальних послуг"</f>
        <v>Призначення пільги на оплату житла, комунальних послуг</v>
      </c>
      <c r="E331" s="1" t="str">
        <f>"03193413"</f>
        <v>03193413</v>
      </c>
      <c r="F33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1" s="1" t="str">
        <f>"Фізична особа"</f>
        <v>Фізична особа</v>
      </c>
      <c r="H331" s="1" t="s">
        <v>20</v>
      </c>
      <c r="I331" s="1" t="s">
        <v>20</v>
      </c>
      <c r="J331" s="1" t="str">
        <f>"На обробці в СНАП"</f>
        <v>На обробці в СНАП</v>
      </c>
      <c r="K331" s="1" t="s">
        <v>20</v>
      </c>
      <c r="L331" s="1" t="s">
        <v>20</v>
      </c>
      <c r="M331" s="1" t="s">
        <v>22</v>
      </c>
      <c r="N331" s="1" t="s">
        <v>20</v>
      </c>
    </row>
    <row r="332" spans="1:14" x14ac:dyDescent="0.3">
      <c r="A332" s="1" t="str">
        <f>"2_1837/2129-11/2024/с"</f>
        <v>2_1837/2129-11/2024/с</v>
      </c>
      <c r="B332" s="6">
        <v>45600</v>
      </c>
      <c r="C332" s="1" t="str">
        <f>"00042"</f>
        <v>00042</v>
      </c>
      <c r="D332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32" s="1" t="s">
        <v>20</v>
      </c>
      <c r="F3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2" s="1" t="str">
        <f>"Юридична особа"</f>
        <v>Юридична особа</v>
      </c>
      <c r="H332" s="1" t="str">
        <f>"селянсько-фермерське господарство ""Багрія Андрія Михайловича"""</f>
        <v>селянсько-фермерське господарство "Багрія Андрія Михайловича"</v>
      </c>
      <c r="I332" s="1" t="str">
        <f>"25067028"</f>
        <v>25067028</v>
      </c>
      <c r="J332" s="1" t="str">
        <f>"Закрито"</f>
        <v>Закрито</v>
      </c>
      <c r="K332" s="5">
        <v>45600</v>
      </c>
      <c r="L332" s="1" t="s">
        <v>20</v>
      </c>
      <c r="M332" s="1" t="s">
        <v>22</v>
      </c>
      <c r="N332" s="5">
        <v>45600</v>
      </c>
    </row>
    <row r="333" spans="1:14" x14ac:dyDescent="0.3">
      <c r="A333" s="1" t="str">
        <f>"2_1838/2129-11/2024/с"</f>
        <v>2_1838/2129-11/2024/с</v>
      </c>
      <c r="B333" s="6">
        <v>45600</v>
      </c>
      <c r="C333" s="1" t="str">
        <f>"00042"</f>
        <v>00042</v>
      </c>
      <c r="D333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33" s="1" t="s">
        <v>20</v>
      </c>
      <c r="F33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3" s="1" t="str">
        <f>"Юридична особа"</f>
        <v>Юридична особа</v>
      </c>
      <c r="H333" s="1" t="str">
        <f>"селянсько-фермерське господарство ""Багрія Андрія Михайловича"""</f>
        <v>селянсько-фермерське господарство "Багрія Андрія Михайловича"</v>
      </c>
      <c r="I333" s="1" t="str">
        <f>"25067028"</f>
        <v>25067028</v>
      </c>
      <c r="J333" s="1" t="str">
        <f>"Закрито"</f>
        <v>Закрито</v>
      </c>
      <c r="K333" s="5">
        <v>45600</v>
      </c>
      <c r="L333" s="1" t="s">
        <v>20</v>
      </c>
      <c r="M333" s="1" t="s">
        <v>22</v>
      </c>
      <c r="N333" s="5">
        <v>45600</v>
      </c>
    </row>
    <row r="334" spans="1:14" x14ac:dyDescent="0.3">
      <c r="A334" s="1" t="str">
        <f>"18_584-11/2024/С"</f>
        <v>18_584-11/2024/С</v>
      </c>
      <c r="B334" s="6">
        <v>45600</v>
      </c>
      <c r="C334" s="1" t="str">
        <f>"33"</f>
        <v>33</v>
      </c>
      <c r="D334" s="2" t="str">
        <f>"33 Довідки різного характеру"</f>
        <v>33 Довідки різного характеру</v>
      </c>
      <c r="E334" s="1" t="s">
        <v>20</v>
      </c>
      <c r="F3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4" s="1" t="str">
        <f>"Фізична особа"</f>
        <v>Фізична особа</v>
      </c>
      <c r="H334" s="1" t="s">
        <v>20</v>
      </c>
      <c r="I334" s="1" t="s">
        <v>20</v>
      </c>
      <c r="J334" s="1" t="str">
        <f>"Закрито"</f>
        <v>Закрито</v>
      </c>
      <c r="K334" s="5">
        <v>45600</v>
      </c>
      <c r="L334" s="1" t="s">
        <v>20</v>
      </c>
      <c r="M334" s="1" t="s">
        <v>22</v>
      </c>
      <c r="N334" s="5">
        <v>45600</v>
      </c>
    </row>
    <row r="335" spans="1:14" x14ac:dyDescent="0.3">
      <c r="A335" s="1" t="str">
        <f>"18_585-11/2024/Н"</f>
        <v>18_585-11/2024/Н</v>
      </c>
      <c r="B335" s="6">
        <v>45600</v>
      </c>
      <c r="C335" s="1" t="str">
        <f>"00155"</f>
        <v>00155</v>
      </c>
      <c r="D335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35" s="1" t="str">
        <f>"03193413"</f>
        <v>03193413</v>
      </c>
      <c r="F33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35" s="1" t="str">
        <f>"Фізична особа"</f>
        <v>Фізична особа</v>
      </c>
      <c r="H335" s="1" t="s">
        <v>20</v>
      </c>
      <c r="I335" s="1" t="s">
        <v>20</v>
      </c>
      <c r="J335" s="1" t="str">
        <f>"На обробці в СНАП"</f>
        <v>На обробці в СНАП</v>
      </c>
      <c r="K335" s="1" t="s">
        <v>20</v>
      </c>
      <c r="L335" s="1" t="s">
        <v>20</v>
      </c>
      <c r="M335" s="1" t="s">
        <v>22</v>
      </c>
      <c r="N335" s="1" t="s">
        <v>20</v>
      </c>
    </row>
    <row r="336" spans="1:14" x14ac:dyDescent="0.3">
      <c r="A336" s="1" t="str">
        <f>"18_586-11/2024/Н"</f>
        <v>18_586-11/2024/Н</v>
      </c>
      <c r="B336" s="6">
        <v>45600</v>
      </c>
      <c r="C336" s="1" t="str">
        <f>"33"</f>
        <v>33</v>
      </c>
      <c r="D336" s="2" t="str">
        <f>"33 Довідки різного характеру"</f>
        <v>33 Довідки різного характеру</v>
      </c>
      <c r="E336" s="1" t="s">
        <v>20</v>
      </c>
      <c r="F33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6" s="1" t="str">
        <f>"Фізична особа"</f>
        <v>Фізична особа</v>
      </c>
      <c r="H336" s="1" t="s">
        <v>20</v>
      </c>
      <c r="I336" s="1" t="s">
        <v>20</v>
      </c>
      <c r="J336" s="1" t="str">
        <f t="shared" ref="J336:J341" si="46">"Закрито"</f>
        <v>Закрито</v>
      </c>
      <c r="K336" s="5">
        <v>45600</v>
      </c>
      <c r="L336" s="1" t="s">
        <v>20</v>
      </c>
      <c r="M336" s="1" t="s">
        <v>22</v>
      </c>
      <c r="N336" s="5">
        <v>45600</v>
      </c>
    </row>
    <row r="337" spans="1:14" x14ac:dyDescent="0.3">
      <c r="A337" s="1" t="str">
        <f>"2_1839/2129-11/2024/Ф"</f>
        <v>2_1839/2129-11/2024/Ф</v>
      </c>
      <c r="B337" s="6">
        <v>45600</v>
      </c>
      <c r="C337" s="1" t="str">
        <f>"00046"</f>
        <v>00046</v>
      </c>
      <c r="D337" s="2" t="str">
        <f>"Внесення змін до записів Державного реєстру речових прав на нерухоме майно"</f>
        <v>Внесення змін до записів Державного реєстру речових прав на нерухоме майно</v>
      </c>
      <c r="E337" s="1" t="s">
        <v>20</v>
      </c>
      <c r="F33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37" s="1" t="str">
        <f>"Юридична особа"</f>
        <v>Юридична особа</v>
      </c>
      <c r="H337" s="1" t="str">
        <f>"Фермерське господарство ""МИХАЙЛИШИН"""</f>
        <v>Фермерське господарство "МИХАЙЛИШИН"</v>
      </c>
      <c r="I337" s="1" t="str">
        <f>"42656690"</f>
        <v>42656690</v>
      </c>
      <c r="J337" s="1" t="str">
        <f t="shared" si="46"/>
        <v>Закрито</v>
      </c>
      <c r="K337" s="5">
        <v>45600</v>
      </c>
      <c r="L337" s="1" t="s">
        <v>20</v>
      </c>
      <c r="M337" s="1" t="s">
        <v>22</v>
      </c>
      <c r="N337" s="5">
        <v>45600</v>
      </c>
    </row>
    <row r="338" spans="1:14" x14ac:dyDescent="0.3">
      <c r="A338" s="1" t="str">
        <f>"9_1581/04054323-11/2024/М"</f>
        <v>9_1581/04054323-11/2024/М</v>
      </c>
      <c r="B338" s="6">
        <v>45600</v>
      </c>
      <c r="C338" s="1" t="str">
        <f>"01-1"</f>
        <v>01-1</v>
      </c>
      <c r="D338" s="2" t="s">
        <v>0</v>
      </c>
      <c r="E338" s="1" t="str">
        <f>"04054323"</f>
        <v>04054323</v>
      </c>
      <c r="F338" s="1" t="str">
        <f>"Рогатинська міська рада"</f>
        <v>Рогатинська міська рада</v>
      </c>
      <c r="G338" s="1" t="str">
        <f>"Фізична особа"</f>
        <v>Фізична особа</v>
      </c>
      <c r="H338" s="1" t="s">
        <v>20</v>
      </c>
      <c r="I338" s="1" t="s">
        <v>20</v>
      </c>
      <c r="J338" s="1" t="str">
        <f t="shared" si="46"/>
        <v>Закрито</v>
      </c>
      <c r="K338" s="5">
        <v>45637</v>
      </c>
      <c r="L338" s="1" t="s">
        <v>20</v>
      </c>
      <c r="M338" s="1" t="s">
        <v>22</v>
      </c>
      <c r="N338" s="5">
        <v>45637</v>
      </c>
    </row>
    <row r="339" spans="1:14" x14ac:dyDescent="0.3">
      <c r="A339" s="1" t="str">
        <f>"9_1582/04054323-11/2024/М"</f>
        <v>9_1582/04054323-11/2024/М</v>
      </c>
      <c r="B339" s="6">
        <v>45600</v>
      </c>
      <c r="C339" s="1" t="str">
        <f>"01"</f>
        <v>01</v>
      </c>
      <c r="D339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339" s="1" t="str">
        <f>"04054323"</f>
        <v>04054323</v>
      </c>
      <c r="F339" s="1" t="str">
        <f>"Рогатинська міська рада"</f>
        <v>Рогатинська міська рада</v>
      </c>
      <c r="G339" s="1" t="str">
        <f>"Фізична особа"</f>
        <v>Фізична особа</v>
      </c>
      <c r="H339" s="1" t="s">
        <v>20</v>
      </c>
      <c r="I339" s="1" t="s">
        <v>20</v>
      </c>
      <c r="J339" s="1" t="str">
        <f t="shared" si="46"/>
        <v>Закрито</v>
      </c>
      <c r="K339" s="5">
        <v>45637</v>
      </c>
      <c r="L339" s="1" t="s">
        <v>20</v>
      </c>
      <c r="M339" s="1" t="s">
        <v>22</v>
      </c>
      <c r="N339" s="5">
        <v>45637</v>
      </c>
    </row>
    <row r="340" spans="1:14" x14ac:dyDescent="0.3">
      <c r="A340" s="1" t="str">
        <f>"2_1840/2129-11/2024/Ф"</f>
        <v>2_1840/2129-11/2024/Ф</v>
      </c>
      <c r="B340" s="6">
        <v>45600</v>
      </c>
      <c r="C340" s="1" t="str">
        <f>"00042"</f>
        <v>00042</v>
      </c>
      <c r="D340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40" s="1" t="s">
        <v>20</v>
      </c>
      <c r="F34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0" s="1" t="str">
        <f>"Юридична особа"</f>
        <v>Юридична особа</v>
      </c>
      <c r="H340" s="1" t="str">
        <f>"Фермерське підприємство ""Агро-Стандарт"""</f>
        <v>Фермерське підприємство "Агро-Стандарт"</v>
      </c>
      <c r="I340" s="1" t="str">
        <f>"33958918"</f>
        <v>33958918</v>
      </c>
      <c r="J340" s="1" t="str">
        <f t="shared" si="46"/>
        <v>Закрито</v>
      </c>
      <c r="K340" s="5">
        <v>45600</v>
      </c>
      <c r="L340" s="1" t="s">
        <v>20</v>
      </c>
      <c r="M340" s="1" t="s">
        <v>22</v>
      </c>
      <c r="N340" s="5">
        <v>45600</v>
      </c>
    </row>
    <row r="341" spans="1:14" x14ac:dyDescent="0.3">
      <c r="A341" s="1" t="str">
        <f>"2_1841/2129-11/2024/Ф"</f>
        <v>2_1841/2129-11/2024/Ф</v>
      </c>
      <c r="B341" s="6">
        <v>45600</v>
      </c>
      <c r="C341" s="1" t="str">
        <f>"00042"</f>
        <v>00042</v>
      </c>
      <c r="D341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341" s="1" t="s">
        <v>20</v>
      </c>
      <c r="F34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1" s="1" t="str">
        <f>"Юридична особа"</f>
        <v>Юридична особа</v>
      </c>
      <c r="H341" s="1" t="str">
        <f>"Фермерське господарство ""МИХАЙЛИШИН"""</f>
        <v>Фермерське господарство "МИХАЙЛИШИН"</v>
      </c>
      <c r="I341" s="1" t="str">
        <f>"42656690"</f>
        <v>42656690</v>
      </c>
      <c r="J341" s="1" t="str">
        <f t="shared" si="46"/>
        <v>Закрито</v>
      </c>
      <c r="K341" s="5">
        <v>45600</v>
      </c>
      <c r="L341" s="1" t="s">
        <v>20</v>
      </c>
      <c r="M341" s="1" t="s">
        <v>22</v>
      </c>
      <c r="N341" s="5">
        <v>45600</v>
      </c>
    </row>
    <row r="342" spans="1:14" x14ac:dyDescent="0.3">
      <c r="A342" s="1" t="str">
        <f>"18_587-11/2024/Б"</f>
        <v>18_587-11/2024/Б</v>
      </c>
      <c r="B342" s="6">
        <v>45600</v>
      </c>
      <c r="C342" s="1" t="str">
        <f>"00155"</f>
        <v>00155</v>
      </c>
      <c r="D342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42" s="1" t="str">
        <f>"03193413"</f>
        <v>03193413</v>
      </c>
      <c r="F34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42" s="1" t="str">
        <f t="shared" ref="G342:G373" si="47">"Фізична особа"</f>
        <v>Фізична особа</v>
      </c>
      <c r="H342" s="1" t="s">
        <v>20</v>
      </c>
      <c r="I342" s="1" t="s">
        <v>20</v>
      </c>
      <c r="J342" s="1" t="str">
        <f>"На обробці в СНАП"</f>
        <v>На обробці в СНАП</v>
      </c>
      <c r="K342" s="1" t="s">
        <v>20</v>
      </c>
      <c r="L342" s="1" t="s">
        <v>20</v>
      </c>
      <c r="M342" s="1" t="s">
        <v>22</v>
      </c>
      <c r="N342" s="1" t="s">
        <v>20</v>
      </c>
    </row>
    <row r="343" spans="1:14" x14ac:dyDescent="0.3">
      <c r="A343" s="1" t="str">
        <f>"2_1842/2129-11/2024/А"</f>
        <v>2_1842/2129-11/2024/А</v>
      </c>
      <c r="B343" s="6">
        <v>45600</v>
      </c>
      <c r="C343" s="1" t="str">
        <f>"00047"</f>
        <v>00047</v>
      </c>
      <c r="D343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343" s="1" t="s">
        <v>20</v>
      </c>
      <c r="F34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3" s="1" t="str">
        <f t="shared" si="47"/>
        <v>Фізична особа</v>
      </c>
      <c r="H343" s="1" t="s">
        <v>20</v>
      </c>
      <c r="I343" s="1" t="s">
        <v>20</v>
      </c>
      <c r="J343" s="1" t="str">
        <f t="shared" ref="J343:J379" si="48">"Закрито"</f>
        <v>Закрито</v>
      </c>
      <c r="K343" s="5">
        <v>45600</v>
      </c>
      <c r="L343" s="1" t="s">
        <v>20</v>
      </c>
      <c r="M343" s="1" t="s">
        <v>22</v>
      </c>
      <c r="N343" s="5">
        <v>45600</v>
      </c>
    </row>
    <row r="344" spans="1:14" x14ac:dyDescent="0.3">
      <c r="A344" s="1" t="str">
        <f>"9_1583/04054323-11/2024/Б"</f>
        <v>9_1583/04054323-11/2024/Б</v>
      </c>
      <c r="B344" s="6">
        <v>45600</v>
      </c>
      <c r="C344" s="1" t="str">
        <f>"01"</f>
        <v>01</v>
      </c>
      <c r="D344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344" s="1" t="str">
        <f>"04054323"</f>
        <v>04054323</v>
      </c>
      <c r="F344" s="1" t="str">
        <f>"Рогатинська міська рада"</f>
        <v>Рогатинська міська рада</v>
      </c>
      <c r="G344" s="1" t="str">
        <f t="shared" si="47"/>
        <v>Фізична особа</v>
      </c>
      <c r="H344" s="1" t="s">
        <v>20</v>
      </c>
      <c r="I344" s="1" t="s">
        <v>20</v>
      </c>
      <c r="J344" s="1" t="str">
        <f t="shared" si="48"/>
        <v>Закрито</v>
      </c>
      <c r="K344" s="5">
        <v>45637</v>
      </c>
      <c r="L344" s="1" t="s">
        <v>20</v>
      </c>
      <c r="M344" s="1" t="s">
        <v>22</v>
      </c>
      <c r="N344" s="5">
        <v>45637</v>
      </c>
    </row>
    <row r="345" spans="1:14" x14ac:dyDescent="0.3">
      <c r="A345" s="1" t="str">
        <f>"2_1843/2129-11/2024/Н"</f>
        <v>2_1843/2129-11/2024/Н</v>
      </c>
      <c r="B345" s="6">
        <v>45600</v>
      </c>
      <c r="C345" s="1" t="str">
        <f>"00041"</f>
        <v>00041</v>
      </c>
      <c r="D34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45" s="1" t="s">
        <v>20</v>
      </c>
      <c r="F34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5" s="1" t="str">
        <f t="shared" si="47"/>
        <v>Фізична особа</v>
      </c>
      <c r="H345" s="1" t="s">
        <v>20</v>
      </c>
      <c r="I345" s="1" t="s">
        <v>20</v>
      </c>
      <c r="J345" s="1" t="str">
        <f t="shared" si="48"/>
        <v>Закрито</v>
      </c>
      <c r="K345" s="5">
        <v>45600</v>
      </c>
      <c r="L345" s="1" t="s">
        <v>20</v>
      </c>
      <c r="M345" s="1" t="s">
        <v>22</v>
      </c>
      <c r="N345" s="5">
        <v>45600</v>
      </c>
    </row>
    <row r="346" spans="1:14" x14ac:dyDescent="0.3">
      <c r="A346" s="1" t="str">
        <f>"2_1844/2129-11/2024/Н"</f>
        <v>2_1844/2129-11/2024/Н</v>
      </c>
      <c r="B346" s="6">
        <v>45600</v>
      </c>
      <c r="C346" s="1" t="str">
        <f>"00041"</f>
        <v>00041</v>
      </c>
      <c r="D34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46" s="1" t="s">
        <v>20</v>
      </c>
      <c r="F34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6" s="1" t="str">
        <f t="shared" si="47"/>
        <v>Фізична особа</v>
      </c>
      <c r="H346" s="1" t="s">
        <v>20</v>
      </c>
      <c r="I346" s="1" t="s">
        <v>20</v>
      </c>
      <c r="J346" s="1" t="str">
        <f t="shared" si="48"/>
        <v>Закрито</v>
      </c>
      <c r="K346" s="5">
        <v>45600</v>
      </c>
      <c r="L346" s="1" t="s">
        <v>20</v>
      </c>
      <c r="M346" s="1" t="s">
        <v>22</v>
      </c>
      <c r="N346" s="5">
        <v>45600</v>
      </c>
    </row>
    <row r="347" spans="1:14" x14ac:dyDescent="0.3">
      <c r="A347" s="1" t="str">
        <f>"2_1845/2129-11/2024/Н"</f>
        <v>2_1845/2129-11/2024/Н</v>
      </c>
      <c r="B347" s="6">
        <v>45600</v>
      </c>
      <c r="C347" s="1" t="str">
        <f>"00041"</f>
        <v>00041</v>
      </c>
      <c r="D34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47" s="1" t="s">
        <v>20</v>
      </c>
      <c r="F34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7" s="1" t="str">
        <f t="shared" si="47"/>
        <v>Фізична особа</v>
      </c>
      <c r="H347" s="1" t="s">
        <v>20</v>
      </c>
      <c r="I347" s="1" t="s">
        <v>20</v>
      </c>
      <c r="J347" s="1" t="str">
        <f t="shared" si="48"/>
        <v>Закрито</v>
      </c>
      <c r="K347" s="5">
        <v>45600</v>
      </c>
      <c r="L347" s="1" t="s">
        <v>20</v>
      </c>
      <c r="M347" s="1" t="s">
        <v>22</v>
      </c>
      <c r="N347" s="5">
        <v>45600</v>
      </c>
    </row>
    <row r="348" spans="1:14" x14ac:dyDescent="0.3">
      <c r="A348" s="1" t="str">
        <f>"2_1846/2129-11/2024/Я"</f>
        <v>2_1846/2129-11/2024/Я</v>
      </c>
      <c r="B348" s="6">
        <v>45600</v>
      </c>
      <c r="C348" s="1" t="str">
        <f>"00041"</f>
        <v>00041</v>
      </c>
      <c r="D34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48" s="1" t="s">
        <v>20</v>
      </c>
      <c r="F34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48" s="1" t="str">
        <f t="shared" si="47"/>
        <v>Фізична особа</v>
      </c>
      <c r="H348" s="1" t="s">
        <v>20</v>
      </c>
      <c r="I348" s="1" t="s">
        <v>20</v>
      </c>
      <c r="J348" s="1" t="str">
        <f t="shared" si="48"/>
        <v>Закрито</v>
      </c>
      <c r="K348" s="5">
        <v>45600</v>
      </c>
      <c r="L348" s="1" t="s">
        <v>20</v>
      </c>
      <c r="M348" s="1" t="s">
        <v>22</v>
      </c>
      <c r="N348" s="5">
        <v>45600</v>
      </c>
    </row>
    <row r="349" spans="1:14" x14ac:dyDescent="0.3">
      <c r="A349" s="1" t="str">
        <f>"9_1584/04054323-11/2024/П"</f>
        <v>9_1584/04054323-11/2024/П</v>
      </c>
      <c r="B349" s="6">
        <v>45600</v>
      </c>
      <c r="C349" s="1" t="str">
        <f>"01-1"</f>
        <v>01-1</v>
      </c>
      <c r="D349" s="2" t="s">
        <v>0</v>
      </c>
      <c r="E349" s="1" t="str">
        <f>"04054323"</f>
        <v>04054323</v>
      </c>
      <c r="F349" s="1" t="str">
        <f>"Рогатинська міська рада"</f>
        <v>Рогатинська міська рада</v>
      </c>
      <c r="G349" s="1" t="str">
        <f t="shared" si="47"/>
        <v>Фізична особа</v>
      </c>
      <c r="H349" s="1" t="s">
        <v>20</v>
      </c>
      <c r="I349" s="1" t="s">
        <v>20</v>
      </c>
      <c r="J349" s="1" t="str">
        <f t="shared" si="48"/>
        <v>Закрито</v>
      </c>
      <c r="K349" s="5">
        <v>45637</v>
      </c>
      <c r="L349" s="1" t="s">
        <v>20</v>
      </c>
      <c r="M349" s="1" t="s">
        <v>22</v>
      </c>
      <c r="N349" s="5">
        <v>45637</v>
      </c>
    </row>
    <row r="350" spans="1:14" x14ac:dyDescent="0.3">
      <c r="A350" s="1" t="str">
        <f>"9_1585/04054323-11/2024/П"</f>
        <v>9_1585/04054323-11/2024/П</v>
      </c>
      <c r="B350" s="6">
        <v>45600</v>
      </c>
      <c r="C350" s="1" t="str">
        <f>"01"</f>
        <v>01</v>
      </c>
      <c r="D350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350" s="1" t="str">
        <f>"04054323"</f>
        <v>04054323</v>
      </c>
      <c r="F350" s="1" t="str">
        <f>"Рогатинська міська рада"</f>
        <v>Рогатинська міська рада</v>
      </c>
      <c r="G350" s="1" t="str">
        <f t="shared" si="47"/>
        <v>Фізична особа</v>
      </c>
      <c r="H350" s="1" t="s">
        <v>20</v>
      </c>
      <c r="I350" s="1" t="s">
        <v>20</v>
      </c>
      <c r="J350" s="1" t="str">
        <f t="shared" si="48"/>
        <v>Закрито</v>
      </c>
      <c r="K350" s="5">
        <v>45637</v>
      </c>
      <c r="L350" s="1" t="s">
        <v>20</v>
      </c>
      <c r="M350" s="1" t="s">
        <v>22</v>
      </c>
      <c r="N350" s="5">
        <v>45637</v>
      </c>
    </row>
    <row r="351" spans="1:14" x14ac:dyDescent="0.3">
      <c r="A351" s="1" t="str">
        <f>"1_5623/2129-11/2024/К"</f>
        <v>1_5623/2129-11/2024/К</v>
      </c>
      <c r="B351" s="6">
        <v>45600</v>
      </c>
      <c r="C351" s="1" t="str">
        <f>"00038"</f>
        <v>00038</v>
      </c>
      <c r="D35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51" s="1" t="s">
        <v>20</v>
      </c>
      <c r="F351" s="1" t="str">
        <f t="shared" ref="F351:F359" si="49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51" s="1" t="str">
        <f t="shared" si="47"/>
        <v>Фізична особа</v>
      </c>
      <c r="H351" s="1" t="s">
        <v>20</v>
      </c>
      <c r="I351" s="1" t="s">
        <v>20</v>
      </c>
      <c r="J351" s="1" t="str">
        <f t="shared" si="48"/>
        <v>Закрито</v>
      </c>
      <c r="K351" s="8">
        <v>45600</v>
      </c>
      <c r="L351" s="1" t="s">
        <v>20</v>
      </c>
      <c r="M351" s="1" t="s">
        <v>22</v>
      </c>
      <c r="N351" s="5">
        <v>45600</v>
      </c>
    </row>
    <row r="352" spans="1:14" x14ac:dyDescent="0.3">
      <c r="A352" s="1" t="str">
        <f>"2_1847/2129-11/2024/С"</f>
        <v>2_1847/2129-11/2024/С</v>
      </c>
      <c r="B352" s="6">
        <v>45600</v>
      </c>
      <c r="C352" s="1" t="str">
        <f>"00041"</f>
        <v>00041</v>
      </c>
      <c r="D35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52" s="1" t="s">
        <v>20</v>
      </c>
      <c r="F352" s="1" t="str">
        <f t="shared" si="49"/>
        <v>Центр надання адміністративних послуг Рогатинської міської ради</v>
      </c>
      <c r="G352" s="1" t="str">
        <f t="shared" si="47"/>
        <v>Фізична особа</v>
      </c>
      <c r="H352" s="1" t="s">
        <v>20</v>
      </c>
      <c r="I352" s="1" t="s">
        <v>20</v>
      </c>
      <c r="J352" s="1" t="str">
        <f t="shared" si="48"/>
        <v>Закрито</v>
      </c>
      <c r="K352" s="5">
        <v>45602</v>
      </c>
      <c r="L352" s="1" t="str">
        <f>"300.0"</f>
        <v>300.0</v>
      </c>
      <c r="M352" s="1" t="s">
        <v>22</v>
      </c>
      <c r="N352" s="5">
        <v>45602</v>
      </c>
    </row>
    <row r="353" spans="1:14" x14ac:dyDescent="0.3">
      <c r="A353" s="1" t="str">
        <f>"2_1848/2129-11/2024/С"</f>
        <v>2_1848/2129-11/2024/С</v>
      </c>
      <c r="B353" s="6">
        <v>45600</v>
      </c>
      <c r="C353" s="1" t="str">
        <f>"00041"</f>
        <v>00041</v>
      </c>
      <c r="D353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53" s="1" t="s">
        <v>20</v>
      </c>
      <c r="F353" s="1" t="str">
        <f t="shared" si="49"/>
        <v>Центр надання адміністративних послуг Рогатинської міської ради</v>
      </c>
      <c r="G353" s="1" t="str">
        <f t="shared" si="47"/>
        <v>Фізична особа</v>
      </c>
      <c r="H353" s="1" t="s">
        <v>20</v>
      </c>
      <c r="I353" s="1" t="s">
        <v>20</v>
      </c>
      <c r="J353" s="1" t="str">
        <f t="shared" si="48"/>
        <v>Закрито</v>
      </c>
      <c r="K353" s="5">
        <v>45602</v>
      </c>
      <c r="L353" s="1" t="str">
        <f>"300.0"</f>
        <v>300.0</v>
      </c>
      <c r="M353" s="1" t="s">
        <v>22</v>
      </c>
      <c r="N353" s="5">
        <v>45602</v>
      </c>
    </row>
    <row r="354" spans="1:14" x14ac:dyDescent="0.3">
      <c r="A354" s="1" t="str">
        <f>"2_1849/2129-11/2024/С"</f>
        <v>2_1849/2129-11/2024/С</v>
      </c>
      <c r="B354" s="6">
        <v>45600</v>
      </c>
      <c r="C354" s="1" t="str">
        <f>"00041"</f>
        <v>00041</v>
      </c>
      <c r="D35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54" s="1" t="s">
        <v>20</v>
      </c>
      <c r="F354" s="1" t="str">
        <f t="shared" si="49"/>
        <v>Центр надання адміністративних послуг Рогатинської міської ради</v>
      </c>
      <c r="G354" s="1" t="str">
        <f t="shared" si="47"/>
        <v>Фізична особа</v>
      </c>
      <c r="H354" s="1" t="s">
        <v>20</v>
      </c>
      <c r="I354" s="1" t="s">
        <v>20</v>
      </c>
      <c r="J354" s="1" t="str">
        <f t="shared" si="48"/>
        <v>Закрито</v>
      </c>
      <c r="K354" s="5">
        <v>45602</v>
      </c>
      <c r="L354" s="1" t="str">
        <f>"300.0"</f>
        <v>300.0</v>
      </c>
      <c r="M354" s="1" t="s">
        <v>22</v>
      </c>
      <c r="N354" s="5">
        <v>45602</v>
      </c>
    </row>
    <row r="355" spans="1:14" x14ac:dyDescent="0.3">
      <c r="A355" s="1" t="str">
        <f>"2_1850/2129-11/2024/Н"</f>
        <v>2_1850/2129-11/2024/Н</v>
      </c>
      <c r="B355" s="6">
        <v>45600</v>
      </c>
      <c r="C355" s="1" t="str">
        <f>"00041"</f>
        <v>00041</v>
      </c>
      <c r="D35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55" s="1" t="s">
        <v>20</v>
      </c>
      <c r="F355" s="1" t="str">
        <f t="shared" si="49"/>
        <v>Центр надання адміністративних послуг Рогатинської міської ради</v>
      </c>
      <c r="G355" s="1" t="str">
        <f t="shared" si="47"/>
        <v>Фізична особа</v>
      </c>
      <c r="H355" s="1" t="s">
        <v>20</v>
      </c>
      <c r="I355" s="1" t="s">
        <v>20</v>
      </c>
      <c r="J355" s="1" t="str">
        <f t="shared" si="48"/>
        <v>Закрито</v>
      </c>
      <c r="K355" s="5">
        <v>45602</v>
      </c>
      <c r="L355" s="1" t="str">
        <f>"300.0"</f>
        <v>300.0</v>
      </c>
      <c r="M355" s="1" t="s">
        <v>22</v>
      </c>
      <c r="N355" s="5">
        <v>45602</v>
      </c>
    </row>
    <row r="356" spans="1:14" x14ac:dyDescent="0.3">
      <c r="A356" s="1" t="str">
        <f>"2_1851/2129-11/2024/Г"</f>
        <v>2_1851/2129-11/2024/Г</v>
      </c>
      <c r="B356" s="6">
        <v>45600</v>
      </c>
      <c r="C356" s="1" t="str">
        <f>"00041"</f>
        <v>00041</v>
      </c>
      <c r="D35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56" s="1" t="s">
        <v>20</v>
      </c>
      <c r="F356" s="1" t="str">
        <f t="shared" si="49"/>
        <v>Центр надання адміністративних послуг Рогатинської міської ради</v>
      </c>
      <c r="G356" s="1" t="str">
        <f t="shared" si="47"/>
        <v>Фізична особа</v>
      </c>
      <c r="H356" s="1" t="s">
        <v>20</v>
      </c>
      <c r="I356" s="1" t="s">
        <v>20</v>
      </c>
      <c r="J356" s="1" t="str">
        <f t="shared" si="48"/>
        <v>Закрито</v>
      </c>
      <c r="K356" s="5">
        <v>45602</v>
      </c>
      <c r="L356" s="1" t="str">
        <f>"300.0"</f>
        <v>300.0</v>
      </c>
      <c r="M356" s="1" t="s">
        <v>22</v>
      </c>
      <c r="N356" s="5">
        <v>45602</v>
      </c>
    </row>
    <row r="357" spans="1:14" x14ac:dyDescent="0.3">
      <c r="A357" s="1" t="str">
        <f>"16_638-11/2024/М"</f>
        <v>16_638-11/2024/М</v>
      </c>
      <c r="B357" s="6">
        <v>45600</v>
      </c>
      <c r="C357" s="1" t="str">
        <f>"33"</f>
        <v>33</v>
      </c>
      <c r="D357" s="2" t="str">
        <f>"33 Довідки різного характеру"</f>
        <v>33 Довідки різного характеру</v>
      </c>
      <c r="E357" s="1" t="s">
        <v>20</v>
      </c>
      <c r="F357" s="1" t="str">
        <f t="shared" si="49"/>
        <v>Центр надання адміністративних послуг Рогатинської міської ради</v>
      </c>
      <c r="G357" s="1" t="str">
        <f t="shared" si="47"/>
        <v>Фізична особа</v>
      </c>
      <c r="H357" s="1" t="s">
        <v>20</v>
      </c>
      <c r="I357" s="1" t="s">
        <v>20</v>
      </c>
      <c r="J357" s="1" t="str">
        <f t="shared" si="48"/>
        <v>Закрито</v>
      </c>
      <c r="K357" s="5">
        <v>45600</v>
      </c>
      <c r="L357" s="1" t="s">
        <v>20</v>
      </c>
      <c r="M357" s="1" t="s">
        <v>22</v>
      </c>
      <c r="N357" s="5">
        <v>45600</v>
      </c>
    </row>
    <row r="358" spans="1:14" x14ac:dyDescent="0.3">
      <c r="A358" s="1" t="str">
        <f>"1_5624/2129-11/2024/К"</f>
        <v>1_5624/2129-11/2024/К</v>
      </c>
      <c r="B358" s="6">
        <v>45600</v>
      </c>
      <c r="C358" s="1" t="str">
        <f>"00038"</f>
        <v>00038</v>
      </c>
      <c r="D35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58" s="1" t="s">
        <v>20</v>
      </c>
      <c r="F358" s="1" t="str">
        <f t="shared" si="49"/>
        <v>Центр надання адміністративних послуг Рогатинської міської ради</v>
      </c>
      <c r="G358" s="1" t="str">
        <f t="shared" si="47"/>
        <v>Фізична особа</v>
      </c>
      <c r="H358" s="1" t="s">
        <v>20</v>
      </c>
      <c r="I358" s="1" t="s">
        <v>20</v>
      </c>
      <c r="J358" s="1" t="str">
        <f t="shared" si="48"/>
        <v>Закрито</v>
      </c>
      <c r="K358" s="8">
        <v>45600</v>
      </c>
      <c r="L358" s="1" t="s">
        <v>20</v>
      </c>
      <c r="M358" s="1" t="s">
        <v>22</v>
      </c>
      <c r="N358" s="5">
        <v>45600</v>
      </c>
    </row>
    <row r="359" spans="1:14" x14ac:dyDescent="0.3">
      <c r="A359" s="1" t="str">
        <f>"1_5625/2129-11/2024/Д"</f>
        <v>1_5625/2129-11/2024/Д</v>
      </c>
      <c r="B359" s="6">
        <v>45600</v>
      </c>
      <c r="C359" s="1" t="str">
        <f>"00038"</f>
        <v>00038</v>
      </c>
      <c r="D35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59" s="1" t="s">
        <v>20</v>
      </c>
      <c r="F359" s="1" t="str">
        <f t="shared" si="49"/>
        <v>Центр надання адміністративних послуг Рогатинської міської ради</v>
      </c>
      <c r="G359" s="1" t="str">
        <f t="shared" si="47"/>
        <v>Фізична особа</v>
      </c>
      <c r="H359" s="1" t="s">
        <v>20</v>
      </c>
      <c r="I359" s="1" t="s">
        <v>20</v>
      </c>
      <c r="J359" s="1" t="str">
        <f t="shared" si="48"/>
        <v>Закрито</v>
      </c>
      <c r="K359" s="8">
        <v>45600</v>
      </c>
      <c r="L359" s="1" t="s">
        <v>20</v>
      </c>
      <c r="M359" s="1" t="s">
        <v>22</v>
      </c>
      <c r="N359" s="5">
        <v>45600</v>
      </c>
    </row>
    <row r="360" spans="1:14" x14ac:dyDescent="0.3">
      <c r="A360" s="1" t="str">
        <f>"4_1222/03193413-11/2024/Б"</f>
        <v>4_1222/03193413-11/2024/Б</v>
      </c>
      <c r="B360" s="6">
        <v>45600</v>
      </c>
      <c r="C360" s="1" t="str">
        <f>"00151"</f>
        <v>00151</v>
      </c>
      <c r="D360" s="2" t="str">
        <f>"Призначення державної соціальної допомоги особам з інвалідністю з дитинства та дітям з інвалідністю"</f>
        <v>Призначення державної соціальної допомоги особам з інвалідністю з дитинства та дітям з інвалідністю</v>
      </c>
      <c r="E360" s="1" t="str">
        <f>"03193413"</f>
        <v>03193413</v>
      </c>
      <c r="F36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60" s="1" t="str">
        <f t="shared" si="47"/>
        <v>Фізична особа</v>
      </c>
      <c r="H360" s="1" t="s">
        <v>20</v>
      </c>
      <c r="I360" s="1" t="s">
        <v>20</v>
      </c>
      <c r="J360" s="1" t="str">
        <f t="shared" si="48"/>
        <v>Закрито</v>
      </c>
      <c r="K360" s="5">
        <v>45601</v>
      </c>
      <c r="L360" s="1" t="s">
        <v>20</v>
      </c>
      <c r="M360" s="1" t="s">
        <v>22</v>
      </c>
      <c r="N360" s="5">
        <v>45601</v>
      </c>
    </row>
    <row r="361" spans="1:14" x14ac:dyDescent="0.3">
      <c r="A361" s="1" t="str">
        <f>"4_1223/03193413-11/2024/К"</f>
        <v>4_1223/03193413-11/2024/К</v>
      </c>
      <c r="B361" s="6">
        <v>45600</v>
      </c>
      <c r="C361" s="1" t="str">
        <f>"00155"</f>
        <v>00155</v>
      </c>
      <c r="D361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61" s="1" t="str">
        <f>"03193413"</f>
        <v>03193413</v>
      </c>
      <c r="F36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61" s="1" t="str">
        <f t="shared" si="47"/>
        <v>Фізична особа</v>
      </c>
      <c r="H361" s="1" t="s">
        <v>20</v>
      </c>
      <c r="I361" s="1" t="s">
        <v>20</v>
      </c>
      <c r="J361" s="1" t="str">
        <f t="shared" si="48"/>
        <v>Закрито</v>
      </c>
      <c r="K361" s="5">
        <v>45601</v>
      </c>
      <c r="L361" s="1" t="s">
        <v>20</v>
      </c>
      <c r="M361" s="1" t="s">
        <v>22</v>
      </c>
      <c r="N361" s="5">
        <v>45601</v>
      </c>
    </row>
    <row r="362" spans="1:14" x14ac:dyDescent="0.3">
      <c r="A362" s="1" t="str">
        <f>"4_1224/03193413-11/2024/К"</f>
        <v>4_1224/03193413-11/2024/К</v>
      </c>
      <c r="B362" s="6">
        <v>45600</v>
      </c>
      <c r="C362" s="1" t="str">
        <f>"00155"</f>
        <v>00155</v>
      </c>
      <c r="D362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62" s="1" t="str">
        <f>"03193413"</f>
        <v>03193413</v>
      </c>
      <c r="F36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62" s="1" t="str">
        <f t="shared" si="47"/>
        <v>Фізична особа</v>
      </c>
      <c r="H362" s="1" t="s">
        <v>20</v>
      </c>
      <c r="I362" s="1" t="s">
        <v>20</v>
      </c>
      <c r="J362" s="1" t="str">
        <f t="shared" si="48"/>
        <v>Закрито</v>
      </c>
      <c r="K362" s="5">
        <v>45601</v>
      </c>
      <c r="L362" s="1" t="s">
        <v>20</v>
      </c>
      <c r="M362" s="1" t="s">
        <v>22</v>
      </c>
      <c r="N362" s="5">
        <v>45601</v>
      </c>
    </row>
    <row r="363" spans="1:14" x14ac:dyDescent="0.3">
      <c r="A363" s="1" t="str">
        <f>"1_670-11/2024/П"</f>
        <v>1_670-11/2024/П</v>
      </c>
      <c r="B363" s="6">
        <v>45600</v>
      </c>
      <c r="C363" s="1" t="str">
        <f>"00038"</f>
        <v>00038</v>
      </c>
      <c r="D36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63" s="1" t="s">
        <v>20</v>
      </c>
      <c r="F36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63" s="1" t="str">
        <f t="shared" si="47"/>
        <v>Фізична особа</v>
      </c>
      <c r="H363" s="1" t="s">
        <v>20</v>
      </c>
      <c r="I363" s="1" t="s">
        <v>20</v>
      </c>
      <c r="J363" s="1" t="str">
        <f t="shared" si="48"/>
        <v>Закрито</v>
      </c>
      <c r="K363" s="5">
        <v>45600</v>
      </c>
      <c r="L363" s="1" t="s">
        <v>20</v>
      </c>
      <c r="M363" s="1" t="s">
        <v>22</v>
      </c>
      <c r="N363" s="5">
        <v>45600</v>
      </c>
    </row>
    <row r="364" spans="1:14" x14ac:dyDescent="0.3">
      <c r="A364" s="1" t="str">
        <f>"1_671-11/2024/П"</f>
        <v>1_671-11/2024/П</v>
      </c>
      <c r="B364" s="6">
        <v>45600</v>
      </c>
      <c r="C364" s="1" t="str">
        <f>"00064"</f>
        <v>00064</v>
      </c>
      <c r="D364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364" s="1" t="s">
        <v>20</v>
      </c>
      <c r="F364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64" s="1" t="str">
        <f t="shared" si="47"/>
        <v>Фізична особа</v>
      </c>
      <c r="H364" s="1" t="s">
        <v>20</v>
      </c>
      <c r="I364" s="1" t="s">
        <v>20</v>
      </c>
      <c r="J364" s="1" t="str">
        <f t="shared" si="48"/>
        <v>Закрито</v>
      </c>
      <c r="K364" s="5">
        <v>45614</v>
      </c>
      <c r="L364" s="1" t="s">
        <v>20</v>
      </c>
      <c r="M364" s="1" t="s">
        <v>22</v>
      </c>
      <c r="N364" s="5">
        <v>45614</v>
      </c>
    </row>
    <row r="365" spans="1:14" x14ac:dyDescent="0.3">
      <c r="A365" s="1" t="str">
        <f>"1_672-11/2024/П"</f>
        <v>1_672-11/2024/П</v>
      </c>
      <c r="B365" s="6">
        <v>45600</v>
      </c>
      <c r="C365" s="1" t="str">
        <f>"00155"</f>
        <v>00155</v>
      </c>
      <c r="D365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65" s="1" t="str">
        <f>"03193413"</f>
        <v>03193413</v>
      </c>
      <c r="F36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65" s="1" t="str">
        <f t="shared" si="47"/>
        <v>Фізична особа</v>
      </c>
      <c r="H365" s="1" t="s">
        <v>20</v>
      </c>
      <c r="I365" s="1" t="s">
        <v>20</v>
      </c>
      <c r="J365" s="1" t="str">
        <f t="shared" si="48"/>
        <v>Закрито</v>
      </c>
      <c r="K365" s="5">
        <v>45653</v>
      </c>
      <c r="L365" s="1" t="s">
        <v>20</v>
      </c>
      <c r="M365" s="1" t="s">
        <v>22</v>
      </c>
      <c r="N365" s="5">
        <v>45653</v>
      </c>
    </row>
    <row r="366" spans="1:14" x14ac:dyDescent="0.3">
      <c r="A366" s="1" t="str">
        <f>"1_673-11/2024/П"</f>
        <v>1_673-11/2024/П</v>
      </c>
      <c r="B366" s="6">
        <v>45600</v>
      </c>
      <c r="C366" s="1" t="str">
        <f>"00038"</f>
        <v>00038</v>
      </c>
      <c r="D36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66" s="1" t="s">
        <v>20</v>
      </c>
      <c r="F36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66" s="1" t="str">
        <f t="shared" si="47"/>
        <v>Фізична особа</v>
      </c>
      <c r="H366" s="1" t="s">
        <v>20</v>
      </c>
      <c r="I366" s="1" t="s">
        <v>20</v>
      </c>
      <c r="J366" s="1" t="str">
        <f t="shared" si="48"/>
        <v>Закрито</v>
      </c>
      <c r="K366" s="5">
        <v>45600</v>
      </c>
      <c r="L366" s="1" t="s">
        <v>20</v>
      </c>
      <c r="M366" s="1" t="s">
        <v>22</v>
      </c>
      <c r="N366" s="5">
        <v>45600</v>
      </c>
    </row>
    <row r="367" spans="1:14" x14ac:dyDescent="0.3">
      <c r="A367" s="1" t="str">
        <f>"20_150-11/2024/Ж"</f>
        <v>20_150-11/2024/Ж</v>
      </c>
      <c r="B367" s="6">
        <v>45600</v>
      </c>
      <c r="C367" s="1" t="str">
        <f>"33"</f>
        <v>33</v>
      </c>
      <c r="D367" s="2" t="str">
        <f>"33 Довідки різного характеру"</f>
        <v>33 Довідки різного характеру</v>
      </c>
      <c r="E367" s="1" t="s">
        <v>20</v>
      </c>
      <c r="F36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67" s="1" t="str">
        <f t="shared" si="47"/>
        <v>Фізична особа</v>
      </c>
      <c r="H367" s="1" t="s">
        <v>20</v>
      </c>
      <c r="I367" s="1" t="s">
        <v>20</v>
      </c>
      <c r="J367" s="1" t="str">
        <f t="shared" si="48"/>
        <v>Закрито</v>
      </c>
      <c r="K367" s="5">
        <v>45600</v>
      </c>
      <c r="L367" s="1" t="s">
        <v>20</v>
      </c>
      <c r="M367" s="1" t="s">
        <v>22</v>
      </c>
      <c r="N367" s="5">
        <v>45600</v>
      </c>
    </row>
    <row r="368" spans="1:14" x14ac:dyDescent="0.3">
      <c r="A368" s="1" t="str">
        <f>"1_5626/2129-11/2024/Г"</f>
        <v>1_5626/2129-11/2024/Г</v>
      </c>
      <c r="B368" s="6">
        <v>45600</v>
      </c>
      <c r="C368" s="1" t="str">
        <f>"00038"</f>
        <v>00038</v>
      </c>
      <c r="D36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68" s="1" t="s">
        <v>20</v>
      </c>
      <c r="F36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68" s="1" t="str">
        <f t="shared" si="47"/>
        <v>Фізична особа</v>
      </c>
      <c r="H368" s="1" t="s">
        <v>20</v>
      </c>
      <c r="I368" s="1" t="s">
        <v>20</v>
      </c>
      <c r="J368" s="1" t="str">
        <f t="shared" si="48"/>
        <v>Закрито</v>
      </c>
      <c r="K368" s="8">
        <v>45600</v>
      </c>
      <c r="L368" s="1" t="s">
        <v>20</v>
      </c>
      <c r="M368" s="1" t="s">
        <v>22</v>
      </c>
      <c r="N368" s="5">
        <v>45600</v>
      </c>
    </row>
    <row r="369" spans="1:14" x14ac:dyDescent="0.3">
      <c r="A369" s="1" t="str">
        <f>"4_1225/03193413-11/2024/П"</f>
        <v>4_1225/03193413-11/2024/П</v>
      </c>
      <c r="B369" s="6">
        <v>45600</v>
      </c>
      <c r="C369" s="1" t="str">
        <f>"00133"</f>
        <v>00133</v>
      </c>
      <c r="D369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69" s="1" t="str">
        <f>"03193413"</f>
        <v>03193413</v>
      </c>
      <c r="F36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69" s="1" t="str">
        <f t="shared" si="47"/>
        <v>Фізична особа</v>
      </c>
      <c r="H369" s="1" t="s">
        <v>20</v>
      </c>
      <c r="I369" s="1" t="s">
        <v>20</v>
      </c>
      <c r="J369" s="1" t="str">
        <f t="shared" si="48"/>
        <v>Закрито</v>
      </c>
      <c r="K369" s="5">
        <v>45629</v>
      </c>
      <c r="L369" s="1" t="s">
        <v>20</v>
      </c>
      <c r="M369" s="1" t="s">
        <v>22</v>
      </c>
      <c r="N369" s="5">
        <v>45629</v>
      </c>
    </row>
    <row r="370" spans="1:14" x14ac:dyDescent="0.3">
      <c r="A370" s="1" t="str">
        <f>"4_1226/03193413-11/2024/С"</f>
        <v>4_1226/03193413-11/2024/С</v>
      </c>
      <c r="B370" s="6">
        <v>45600</v>
      </c>
      <c r="C370" s="1" t="str">
        <f>"00155"</f>
        <v>00155</v>
      </c>
      <c r="D370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70" s="1" t="str">
        <f>"03193413"</f>
        <v>03193413</v>
      </c>
      <c r="F37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70" s="1" t="str">
        <f t="shared" si="47"/>
        <v>Фізична особа</v>
      </c>
      <c r="H370" s="1" t="s">
        <v>20</v>
      </c>
      <c r="I370" s="1" t="s">
        <v>20</v>
      </c>
      <c r="J370" s="1" t="str">
        <f t="shared" si="48"/>
        <v>Закрито</v>
      </c>
      <c r="K370" s="5">
        <v>45629</v>
      </c>
      <c r="L370" s="1" t="s">
        <v>20</v>
      </c>
      <c r="M370" s="1" t="s">
        <v>22</v>
      </c>
      <c r="N370" s="5">
        <v>45629</v>
      </c>
    </row>
    <row r="371" spans="1:14" x14ac:dyDescent="0.3">
      <c r="A371" s="1" t="str">
        <f>"18_588-11/2024/Б"</f>
        <v>18_588-11/2024/Б</v>
      </c>
      <c r="B371" s="6">
        <v>45600</v>
      </c>
      <c r="C371" s="1" t="str">
        <f>"33"</f>
        <v>33</v>
      </c>
      <c r="D371" s="2" t="str">
        <f>"33 Довідки різного характеру"</f>
        <v>33 Довідки різного характеру</v>
      </c>
      <c r="E371" s="1" t="s">
        <v>20</v>
      </c>
      <c r="F37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71" s="1" t="str">
        <f t="shared" si="47"/>
        <v>Фізична особа</v>
      </c>
      <c r="H371" s="1" t="s">
        <v>20</v>
      </c>
      <c r="I371" s="1" t="s">
        <v>20</v>
      </c>
      <c r="J371" s="1" t="str">
        <f t="shared" si="48"/>
        <v>Закрито</v>
      </c>
      <c r="K371" s="5">
        <v>45600</v>
      </c>
      <c r="L371" s="1" t="s">
        <v>20</v>
      </c>
      <c r="M371" s="1" t="s">
        <v>22</v>
      </c>
      <c r="N371" s="5">
        <v>45600</v>
      </c>
    </row>
    <row r="372" spans="1:14" x14ac:dyDescent="0.3">
      <c r="A372" s="1" t="str">
        <f>"9_1586/04054323-11/2024/Б"</f>
        <v>9_1586/04054323-11/2024/Б</v>
      </c>
      <c r="B372" s="6">
        <v>45600</v>
      </c>
      <c r="C372" s="1" t="str">
        <f>"01"</f>
        <v>01</v>
      </c>
      <c r="D372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372" s="1" t="str">
        <f>"04054323"</f>
        <v>04054323</v>
      </c>
      <c r="F372" s="1" t="str">
        <f>"Рогатинська міська рада"</f>
        <v>Рогатинська міська рада</v>
      </c>
      <c r="G372" s="1" t="str">
        <f t="shared" si="47"/>
        <v>Фізична особа</v>
      </c>
      <c r="H372" s="1" t="s">
        <v>20</v>
      </c>
      <c r="I372" s="1" t="s">
        <v>20</v>
      </c>
      <c r="J372" s="1" t="str">
        <f t="shared" si="48"/>
        <v>Закрито</v>
      </c>
      <c r="K372" s="5">
        <v>45637</v>
      </c>
      <c r="L372" s="1" t="s">
        <v>20</v>
      </c>
      <c r="M372" s="1" t="s">
        <v>22</v>
      </c>
      <c r="N372" s="5">
        <v>45637</v>
      </c>
    </row>
    <row r="373" spans="1:14" x14ac:dyDescent="0.3">
      <c r="A373" s="1" t="str">
        <f>"4_1227/03193413-11/2024/С"</f>
        <v>4_1227/03193413-11/2024/С</v>
      </c>
      <c r="B373" s="6">
        <v>45600</v>
      </c>
      <c r="C373" s="1" t="str">
        <f>"01974"</f>
        <v>01974</v>
      </c>
      <c r="D373" s="2" t="str">
        <f>"Призначення пільги на оплату житла, комунальних послуг"</f>
        <v>Призначення пільги на оплату житла, комунальних послуг</v>
      </c>
      <c r="E373" s="1" t="str">
        <f>"03193413"</f>
        <v>03193413</v>
      </c>
      <c r="F37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73" s="1" t="str">
        <f t="shared" si="47"/>
        <v>Фізична особа</v>
      </c>
      <c r="H373" s="1" t="s">
        <v>20</v>
      </c>
      <c r="I373" s="1" t="s">
        <v>20</v>
      </c>
      <c r="J373" s="1" t="str">
        <f t="shared" si="48"/>
        <v>Закрито</v>
      </c>
      <c r="K373" s="5">
        <v>45629</v>
      </c>
      <c r="L373" s="1" t="s">
        <v>20</v>
      </c>
      <c r="M373" s="1" t="s">
        <v>22</v>
      </c>
      <c r="N373" s="5">
        <v>45629</v>
      </c>
    </row>
    <row r="374" spans="1:14" x14ac:dyDescent="0.3">
      <c r="A374" s="1" t="str">
        <f>"20_151-11/2024/Т"</f>
        <v>20_151-11/2024/Т</v>
      </c>
      <c r="B374" s="6">
        <v>45600</v>
      </c>
      <c r="C374" s="1" t="str">
        <f>"00038"</f>
        <v>00038</v>
      </c>
      <c r="D37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74" s="1" t="s">
        <v>20</v>
      </c>
      <c r="F37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74" s="1" t="str">
        <f t="shared" ref="G374:G405" si="50">"Фізична особа"</f>
        <v>Фізична особа</v>
      </c>
      <c r="H374" s="1" t="s">
        <v>20</v>
      </c>
      <c r="I374" s="1" t="s">
        <v>20</v>
      </c>
      <c r="J374" s="1" t="str">
        <f t="shared" si="48"/>
        <v>Закрито</v>
      </c>
      <c r="K374" s="5">
        <v>45600</v>
      </c>
      <c r="L374" s="1" t="s">
        <v>20</v>
      </c>
      <c r="M374" s="1" t="s">
        <v>22</v>
      </c>
      <c r="N374" s="5">
        <v>45600</v>
      </c>
    </row>
    <row r="375" spans="1:14" x14ac:dyDescent="0.3">
      <c r="A375" s="1" t="str">
        <f>"35_491-11/2024/Х"</f>
        <v>35_491-11/2024/Х</v>
      </c>
      <c r="B375" s="6">
        <v>45600</v>
      </c>
      <c r="C375" s="1" t="str">
        <f>"00038"</f>
        <v>00038</v>
      </c>
      <c r="D37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75" s="1" t="s">
        <v>20</v>
      </c>
      <c r="F3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75" s="1" t="str">
        <f t="shared" si="50"/>
        <v>Фізична особа</v>
      </c>
      <c r="H375" s="1" t="s">
        <v>20</v>
      </c>
      <c r="I375" s="1" t="s">
        <v>20</v>
      </c>
      <c r="J375" s="1" t="str">
        <f t="shared" si="48"/>
        <v>Закрито</v>
      </c>
      <c r="K375" s="5">
        <v>45600</v>
      </c>
      <c r="L375" s="1" t="s">
        <v>20</v>
      </c>
      <c r="M375" s="1" t="s">
        <v>22</v>
      </c>
      <c r="N375" s="5">
        <v>45600</v>
      </c>
    </row>
    <row r="376" spans="1:14" x14ac:dyDescent="0.3">
      <c r="A376" s="1" t="str">
        <f>"35_492-11/2024/Х"</f>
        <v>35_492-11/2024/Х</v>
      </c>
      <c r="B376" s="6">
        <v>45600</v>
      </c>
      <c r="C376" s="1" t="str">
        <f>"00244"</f>
        <v>00244</v>
      </c>
      <c r="D376" s="2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376" s="1" t="str">
        <f>"04054323"</f>
        <v>04054323</v>
      </c>
      <c r="F376" s="1" t="str">
        <f>"Рогатинська міська рада"</f>
        <v>Рогатинська міська рада</v>
      </c>
      <c r="G376" s="1" t="str">
        <f t="shared" si="50"/>
        <v>Фізична особа</v>
      </c>
      <c r="H376" s="1" t="s">
        <v>20</v>
      </c>
      <c r="I376" s="1" t="s">
        <v>20</v>
      </c>
      <c r="J376" s="1" t="str">
        <f t="shared" si="48"/>
        <v>Закрито</v>
      </c>
      <c r="K376" s="5">
        <v>45600</v>
      </c>
      <c r="L376" s="1" t="s">
        <v>20</v>
      </c>
      <c r="M376" s="1" t="s">
        <v>22</v>
      </c>
      <c r="N376" s="5">
        <v>45600</v>
      </c>
    </row>
    <row r="377" spans="1:14" x14ac:dyDescent="0.3">
      <c r="A377" s="1" t="str">
        <f>"1_5627/2129-11/2024/Б"</f>
        <v>1_5627/2129-11/2024/Б</v>
      </c>
      <c r="B377" s="6">
        <v>45600</v>
      </c>
      <c r="C377" s="1" t="str">
        <f>"00038"</f>
        <v>00038</v>
      </c>
      <c r="D37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77" s="1" t="s">
        <v>20</v>
      </c>
      <c r="F37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77" s="1" t="str">
        <f t="shared" si="50"/>
        <v>Фізична особа</v>
      </c>
      <c r="H377" s="1" t="s">
        <v>20</v>
      </c>
      <c r="I377" s="1" t="s">
        <v>20</v>
      </c>
      <c r="J377" s="1" t="str">
        <f t="shared" si="48"/>
        <v>Закрито</v>
      </c>
      <c r="K377" s="8">
        <v>45600</v>
      </c>
      <c r="L377" s="1" t="s">
        <v>20</v>
      </c>
      <c r="M377" s="1" t="s">
        <v>22</v>
      </c>
      <c r="N377" s="5">
        <v>45600</v>
      </c>
    </row>
    <row r="378" spans="1:14" x14ac:dyDescent="0.3">
      <c r="A378" s="1" t="str">
        <f>"1_5628/2129-11/2024/Б"</f>
        <v>1_5628/2129-11/2024/Б</v>
      </c>
      <c r="B378" s="6">
        <v>45600</v>
      </c>
      <c r="C378" s="1" t="str">
        <f>"00038"</f>
        <v>00038</v>
      </c>
      <c r="D37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78" s="1" t="s">
        <v>20</v>
      </c>
      <c r="F37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78" s="1" t="str">
        <f t="shared" si="50"/>
        <v>Фізична особа</v>
      </c>
      <c r="H378" s="1" t="s">
        <v>20</v>
      </c>
      <c r="I378" s="1" t="s">
        <v>20</v>
      </c>
      <c r="J378" s="1" t="str">
        <f t="shared" si="48"/>
        <v>Закрито</v>
      </c>
      <c r="K378" s="8">
        <v>45600</v>
      </c>
      <c r="L378" s="1" t="s">
        <v>20</v>
      </c>
      <c r="M378" s="1" t="s">
        <v>22</v>
      </c>
      <c r="N378" s="5">
        <v>45600</v>
      </c>
    </row>
    <row r="379" spans="1:14" x14ac:dyDescent="0.3">
      <c r="A379" s="1" t="str">
        <f>"20_152-11/2024/Н"</f>
        <v>20_152-11/2024/Н</v>
      </c>
      <c r="B379" s="6">
        <v>45600</v>
      </c>
      <c r="C379" s="1" t="str">
        <f>"00038"</f>
        <v>00038</v>
      </c>
      <c r="D37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79" s="1" t="s">
        <v>20</v>
      </c>
      <c r="F37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79" s="1" t="str">
        <f t="shared" si="50"/>
        <v>Фізична особа</v>
      </c>
      <c r="H379" s="1" t="s">
        <v>20</v>
      </c>
      <c r="I379" s="1" t="s">
        <v>20</v>
      </c>
      <c r="J379" s="1" t="str">
        <f t="shared" si="48"/>
        <v>Закрито</v>
      </c>
      <c r="K379" s="5">
        <v>45600</v>
      </c>
      <c r="L379" s="1" t="s">
        <v>20</v>
      </c>
      <c r="M379" s="1" t="s">
        <v>22</v>
      </c>
      <c r="N379" s="5">
        <v>45600</v>
      </c>
    </row>
    <row r="380" spans="1:14" x14ac:dyDescent="0.3">
      <c r="A380" s="1" t="str">
        <f>"1_5629/2129-11/2024/Б"</f>
        <v>1_5629/2129-11/2024/Б</v>
      </c>
      <c r="B380" s="6">
        <v>45600</v>
      </c>
      <c r="C380" s="1" t="str">
        <f>"00038"</f>
        <v>00038</v>
      </c>
      <c r="D38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80" s="1" t="s">
        <v>20</v>
      </c>
      <c r="F38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80" s="1" t="str">
        <f t="shared" si="50"/>
        <v>Фізична особа</v>
      </c>
      <c r="H380" s="1" t="s">
        <v>20</v>
      </c>
      <c r="I380" s="1" t="s">
        <v>20</v>
      </c>
      <c r="J380" s="1" t="str">
        <f>"Зареєстрований"</f>
        <v>Зареєстрований</v>
      </c>
      <c r="K380" s="7" t="s">
        <v>20</v>
      </c>
      <c r="L380" s="1" t="s">
        <v>20</v>
      </c>
      <c r="M380" s="1" t="s">
        <v>22</v>
      </c>
      <c r="N380" s="1" t="s">
        <v>20</v>
      </c>
    </row>
    <row r="381" spans="1:14" x14ac:dyDescent="0.3">
      <c r="A381" s="1" t="str">
        <f>"18_589-11/2024/С"</f>
        <v>18_589-11/2024/С</v>
      </c>
      <c r="B381" s="6">
        <v>45600</v>
      </c>
      <c r="C381" s="1" t="str">
        <f>"00155"</f>
        <v>00155</v>
      </c>
      <c r="D381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81" s="1" t="str">
        <f>"03193413"</f>
        <v>03193413</v>
      </c>
      <c r="F38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81" s="1" t="str">
        <f t="shared" si="50"/>
        <v>Фізична особа</v>
      </c>
      <c r="H381" s="1" t="s">
        <v>20</v>
      </c>
      <c r="I381" s="1" t="s">
        <v>20</v>
      </c>
      <c r="J381" s="1" t="str">
        <f>"На обробці в СНАП"</f>
        <v>На обробці в СНАП</v>
      </c>
      <c r="K381" s="1" t="s">
        <v>20</v>
      </c>
      <c r="L381" s="1" t="s">
        <v>20</v>
      </c>
      <c r="M381" s="1" t="s">
        <v>22</v>
      </c>
      <c r="N381" s="1" t="s">
        <v>20</v>
      </c>
    </row>
    <row r="382" spans="1:14" x14ac:dyDescent="0.3">
      <c r="A382" s="1" t="str">
        <f>"18_590-11/2024/С"</f>
        <v>18_590-11/2024/С</v>
      </c>
      <c r="B382" s="6">
        <v>45600</v>
      </c>
      <c r="C382" s="1" t="str">
        <f>"33"</f>
        <v>33</v>
      </c>
      <c r="D382" s="2" t="str">
        <f>"33 Довідки різного характеру"</f>
        <v>33 Довідки різного характеру</v>
      </c>
      <c r="E382" s="1" t="s">
        <v>20</v>
      </c>
      <c r="F382" s="1" t="str">
        <f t="shared" ref="F382:F391" si="5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82" s="1" t="str">
        <f t="shared" si="50"/>
        <v>Фізична особа</v>
      </c>
      <c r="H382" s="1" t="s">
        <v>20</v>
      </c>
      <c r="I382" s="1" t="s">
        <v>20</v>
      </c>
      <c r="J382" s="1" t="str">
        <f t="shared" ref="J382:J419" si="52">"Закрито"</f>
        <v>Закрито</v>
      </c>
      <c r="K382" s="5">
        <v>45600</v>
      </c>
      <c r="L382" s="1" t="s">
        <v>20</v>
      </c>
      <c r="M382" s="1" t="s">
        <v>22</v>
      </c>
      <c r="N382" s="5">
        <v>45600</v>
      </c>
    </row>
    <row r="383" spans="1:14" x14ac:dyDescent="0.3">
      <c r="A383" s="1" t="str">
        <f>"1_5630/2129-11/2024/Б"</f>
        <v>1_5630/2129-11/2024/Б</v>
      </c>
      <c r="B383" s="6">
        <v>45600</v>
      </c>
      <c r="C383" s="1" t="str">
        <f>"00038"</f>
        <v>00038</v>
      </c>
      <c r="D38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83" s="1" t="s">
        <v>20</v>
      </c>
      <c r="F383" s="1" t="str">
        <f t="shared" si="51"/>
        <v>Центр надання адміністративних послуг Рогатинської міської ради</v>
      </c>
      <c r="G383" s="1" t="str">
        <f t="shared" si="50"/>
        <v>Фізична особа</v>
      </c>
      <c r="H383" s="1" t="s">
        <v>20</v>
      </c>
      <c r="I383" s="1" t="s">
        <v>20</v>
      </c>
      <c r="J383" s="1" t="str">
        <f t="shared" si="52"/>
        <v>Закрито</v>
      </c>
      <c r="K383" s="6">
        <v>45600</v>
      </c>
      <c r="L383" s="1" t="s">
        <v>20</v>
      </c>
      <c r="M383" s="1" t="s">
        <v>22</v>
      </c>
      <c r="N383" s="5">
        <v>45600</v>
      </c>
    </row>
    <row r="384" spans="1:14" x14ac:dyDescent="0.3">
      <c r="A384" s="1" t="str">
        <f>"1_5631/2129-11/2024/К"</f>
        <v>1_5631/2129-11/2024/К</v>
      </c>
      <c r="B384" s="6">
        <v>45600</v>
      </c>
      <c r="C384" s="1" t="str">
        <f>"00038"</f>
        <v>00038</v>
      </c>
      <c r="D38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84" s="1" t="s">
        <v>20</v>
      </c>
      <c r="F384" s="1" t="str">
        <f t="shared" si="51"/>
        <v>Центр надання адміністративних послуг Рогатинської міської ради</v>
      </c>
      <c r="G384" s="1" t="str">
        <f t="shared" si="50"/>
        <v>Фізична особа</v>
      </c>
      <c r="H384" s="1" t="s">
        <v>20</v>
      </c>
      <c r="I384" s="1" t="s">
        <v>20</v>
      </c>
      <c r="J384" s="1" t="str">
        <f t="shared" si="52"/>
        <v>Закрито</v>
      </c>
      <c r="K384" s="6">
        <v>45600</v>
      </c>
      <c r="L384" s="1" t="s">
        <v>20</v>
      </c>
      <c r="M384" s="1" t="s">
        <v>22</v>
      </c>
      <c r="N384" s="5">
        <v>45600</v>
      </c>
    </row>
    <row r="385" spans="1:14" x14ac:dyDescent="0.3">
      <c r="A385" s="1" t="str">
        <f>"1_5632/2129-11/2024/Д"</f>
        <v>1_5632/2129-11/2024/Д</v>
      </c>
      <c r="B385" s="6">
        <v>45600</v>
      </c>
      <c r="C385" s="1" t="str">
        <f>"00034"</f>
        <v>00034</v>
      </c>
      <c r="D385" s="2" t="str">
        <f>"Реєстрація місця проживання"</f>
        <v>Реєстрація місця проживання</v>
      </c>
      <c r="E385" s="1" t="s">
        <v>20</v>
      </c>
      <c r="F385" s="1" t="str">
        <f t="shared" si="51"/>
        <v>Центр надання адміністративних послуг Рогатинської міської ради</v>
      </c>
      <c r="G385" s="1" t="str">
        <f t="shared" si="50"/>
        <v>Фізична особа</v>
      </c>
      <c r="H385" s="1" t="s">
        <v>20</v>
      </c>
      <c r="I385" s="1" t="s">
        <v>20</v>
      </c>
      <c r="J385" s="1" t="str">
        <f t="shared" si="52"/>
        <v>Закрито</v>
      </c>
      <c r="K385" s="6">
        <v>45600</v>
      </c>
      <c r="L385" s="1" t="str">
        <f>"45.0"</f>
        <v>45.0</v>
      </c>
      <c r="M385" s="1" t="s">
        <v>22</v>
      </c>
      <c r="N385" s="5">
        <v>45600</v>
      </c>
    </row>
    <row r="386" spans="1:14" x14ac:dyDescent="0.3">
      <c r="A386" s="1" t="str">
        <f>"18_591-11/2024/С"</f>
        <v>18_591-11/2024/С</v>
      </c>
      <c r="B386" s="6">
        <v>45600</v>
      </c>
      <c r="C386" s="1" t="str">
        <f t="shared" ref="C386:C391" si="53">"00038"</f>
        <v>00038</v>
      </c>
      <c r="D386" s="2" t="str">
        <f t="shared" ref="D386:D391" si="54"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86" s="1" t="s">
        <v>20</v>
      </c>
      <c r="F386" s="1" t="str">
        <f t="shared" si="51"/>
        <v>Центр надання адміністративних послуг Рогатинської міської ради</v>
      </c>
      <c r="G386" s="1" t="str">
        <f t="shared" si="50"/>
        <v>Фізична особа</v>
      </c>
      <c r="H386" s="1" t="s">
        <v>20</v>
      </c>
      <c r="I386" s="1" t="s">
        <v>20</v>
      </c>
      <c r="J386" s="1" t="str">
        <f t="shared" si="52"/>
        <v>Закрито</v>
      </c>
      <c r="K386" s="5">
        <v>45600</v>
      </c>
      <c r="L386" s="1" t="s">
        <v>20</v>
      </c>
      <c r="M386" s="1" t="s">
        <v>22</v>
      </c>
      <c r="N386" s="5">
        <v>45600</v>
      </c>
    </row>
    <row r="387" spans="1:14" x14ac:dyDescent="0.3">
      <c r="A387" s="1" t="str">
        <f>"18_592-11/2024/С"</f>
        <v>18_592-11/2024/С</v>
      </c>
      <c r="B387" s="6">
        <v>45600</v>
      </c>
      <c r="C387" s="1" t="str">
        <f t="shared" si="53"/>
        <v>00038</v>
      </c>
      <c r="D387" s="2" t="str">
        <f t="shared" si="54"/>
        <v>Видача довідки про реєстрацію місця проживання або місця перебування особи</v>
      </c>
      <c r="E387" s="1" t="s">
        <v>20</v>
      </c>
      <c r="F387" s="1" t="str">
        <f t="shared" si="51"/>
        <v>Центр надання адміністративних послуг Рогатинської міської ради</v>
      </c>
      <c r="G387" s="1" t="str">
        <f t="shared" si="50"/>
        <v>Фізична особа</v>
      </c>
      <c r="H387" s="1" t="s">
        <v>20</v>
      </c>
      <c r="I387" s="1" t="s">
        <v>20</v>
      </c>
      <c r="J387" s="1" t="str">
        <f t="shared" si="52"/>
        <v>Закрито</v>
      </c>
      <c r="K387" s="5">
        <v>45600</v>
      </c>
      <c r="L387" s="1" t="s">
        <v>20</v>
      </c>
      <c r="M387" s="1" t="s">
        <v>22</v>
      </c>
      <c r="N387" s="5">
        <v>45600</v>
      </c>
    </row>
    <row r="388" spans="1:14" x14ac:dyDescent="0.3">
      <c r="A388" s="1" t="str">
        <f>"20_153-11/2024/Т"</f>
        <v>20_153-11/2024/Т</v>
      </c>
      <c r="B388" s="6">
        <v>45600</v>
      </c>
      <c r="C388" s="1" t="str">
        <f t="shared" si="53"/>
        <v>00038</v>
      </c>
      <c r="D388" s="2" t="str">
        <f t="shared" si="54"/>
        <v>Видача довідки про реєстрацію місця проживання або місця перебування особи</v>
      </c>
      <c r="E388" s="1" t="s">
        <v>20</v>
      </c>
      <c r="F388" s="1" t="str">
        <f t="shared" si="51"/>
        <v>Центр надання адміністративних послуг Рогатинської міської ради</v>
      </c>
      <c r="G388" s="1" t="str">
        <f t="shared" si="50"/>
        <v>Фізична особа</v>
      </c>
      <c r="H388" s="1" t="s">
        <v>20</v>
      </c>
      <c r="I388" s="1" t="s">
        <v>20</v>
      </c>
      <c r="J388" s="1" t="str">
        <f t="shared" si="52"/>
        <v>Закрито</v>
      </c>
      <c r="K388" s="5">
        <v>45600</v>
      </c>
      <c r="L388" s="1" t="s">
        <v>20</v>
      </c>
      <c r="M388" s="1" t="s">
        <v>22</v>
      </c>
      <c r="N388" s="5">
        <v>45600</v>
      </c>
    </row>
    <row r="389" spans="1:14" x14ac:dyDescent="0.3">
      <c r="A389" s="1" t="str">
        <f>"1_5633/2129-11/2024/Д"</f>
        <v>1_5633/2129-11/2024/Д</v>
      </c>
      <c r="B389" s="6">
        <v>45600</v>
      </c>
      <c r="C389" s="1" t="str">
        <f t="shared" si="53"/>
        <v>00038</v>
      </c>
      <c r="D389" s="2" t="str">
        <f t="shared" si="54"/>
        <v>Видача довідки про реєстрацію місця проживання або місця перебування особи</v>
      </c>
      <c r="E389" s="1" t="s">
        <v>20</v>
      </c>
      <c r="F389" s="1" t="str">
        <f t="shared" si="51"/>
        <v>Центр надання адміністративних послуг Рогатинської міської ради</v>
      </c>
      <c r="G389" s="1" t="str">
        <f t="shared" si="50"/>
        <v>Фізична особа</v>
      </c>
      <c r="H389" s="1" t="s">
        <v>20</v>
      </c>
      <c r="I389" s="1" t="s">
        <v>20</v>
      </c>
      <c r="J389" s="1" t="str">
        <f t="shared" si="52"/>
        <v>Закрито</v>
      </c>
      <c r="K389" s="6">
        <v>45600</v>
      </c>
      <c r="L389" s="1" t="s">
        <v>20</v>
      </c>
      <c r="M389" s="1" t="s">
        <v>22</v>
      </c>
      <c r="N389" s="5">
        <v>45600</v>
      </c>
    </row>
    <row r="390" spans="1:14" x14ac:dyDescent="0.3">
      <c r="A390" s="1" t="str">
        <f>"1_5634/2129-11/2024/К"</f>
        <v>1_5634/2129-11/2024/К</v>
      </c>
      <c r="B390" s="6">
        <v>45600</v>
      </c>
      <c r="C390" s="1" t="str">
        <f t="shared" si="53"/>
        <v>00038</v>
      </c>
      <c r="D390" s="2" t="str">
        <f t="shared" si="54"/>
        <v>Видача довідки про реєстрацію місця проживання або місця перебування особи</v>
      </c>
      <c r="E390" s="1" t="s">
        <v>20</v>
      </c>
      <c r="F390" s="1" t="str">
        <f t="shared" si="51"/>
        <v>Центр надання адміністративних послуг Рогатинської міської ради</v>
      </c>
      <c r="G390" s="1" t="str">
        <f t="shared" si="50"/>
        <v>Фізична особа</v>
      </c>
      <c r="H390" s="1" t="s">
        <v>20</v>
      </c>
      <c r="I390" s="1" t="s">
        <v>20</v>
      </c>
      <c r="J390" s="1" t="str">
        <f t="shared" si="52"/>
        <v>Закрито</v>
      </c>
      <c r="K390" s="6">
        <v>45600</v>
      </c>
      <c r="L390" s="1" t="s">
        <v>20</v>
      </c>
      <c r="M390" s="1" t="s">
        <v>22</v>
      </c>
      <c r="N390" s="5">
        <v>45600</v>
      </c>
    </row>
    <row r="391" spans="1:14" x14ac:dyDescent="0.3">
      <c r="A391" s="1" t="str">
        <f>"1_5635/2129-11/2024/П"</f>
        <v>1_5635/2129-11/2024/П</v>
      </c>
      <c r="B391" s="6">
        <v>45600</v>
      </c>
      <c r="C391" s="1" t="str">
        <f t="shared" si="53"/>
        <v>00038</v>
      </c>
      <c r="D391" s="2" t="str">
        <f t="shared" si="54"/>
        <v>Видача довідки про реєстрацію місця проживання або місця перебування особи</v>
      </c>
      <c r="E391" s="1" t="s">
        <v>20</v>
      </c>
      <c r="F391" s="1" t="str">
        <f t="shared" si="51"/>
        <v>Центр надання адміністративних послуг Рогатинської міської ради</v>
      </c>
      <c r="G391" s="1" t="str">
        <f t="shared" si="50"/>
        <v>Фізична особа</v>
      </c>
      <c r="H391" s="1" t="s">
        <v>20</v>
      </c>
      <c r="I391" s="1" t="s">
        <v>20</v>
      </c>
      <c r="J391" s="1" t="str">
        <f t="shared" si="52"/>
        <v>Закрито</v>
      </c>
      <c r="K391" s="6">
        <v>45600</v>
      </c>
      <c r="L391" s="1" t="s">
        <v>20</v>
      </c>
      <c r="M391" s="1" t="s">
        <v>22</v>
      </c>
      <c r="N391" s="5">
        <v>45600</v>
      </c>
    </row>
    <row r="392" spans="1:14" x14ac:dyDescent="0.3">
      <c r="A392" s="1" t="str">
        <f>"9_1587/04054323-11/2024/Б"</f>
        <v>9_1587/04054323-11/2024/Б</v>
      </c>
      <c r="B392" s="6">
        <v>45600</v>
      </c>
      <c r="C392" s="1" t="str">
        <f>"01-2"</f>
        <v>01-2</v>
      </c>
      <c r="D392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виробництва"</f>
        <v>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</v>
      </c>
      <c r="E392" s="1" t="str">
        <f>"04054323"</f>
        <v>04054323</v>
      </c>
      <c r="F392" s="1" t="str">
        <f>"Рогатинська міська рада"</f>
        <v>Рогатинська міська рада</v>
      </c>
      <c r="G392" s="1" t="str">
        <f t="shared" si="50"/>
        <v>Фізична особа</v>
      </c>
      <c r="H392" s="1" t="s">
        <v>20</v>
      </c>
      <c r="I392" s="1" t="s">
        <v>20</v>
      </c>
      <c r="J392" s="1" t="str">
        <f t="shared" si="52"/>
        <v>Закрито</v>
      </c>
      <c r="K392" s="5">
        <v>45637</v>
      </c>
      <c r="L392" s="1" t="s">
        <v>20</v>
      </c>
      <c r="M392" s="1" t="s">
        <v>22</v>
      </c>
      <c r="N392" s="5">
        <v>45637</v>
      </c>
    </row>
    <row r="393" spans="1:14" x14ac:dyDescent="0.3">
      <c r="A393" s="1" t="str">
        <f>"9_548-11/2024/Б"</f>
        <v>9_548-11/2024/Б</v>
      </c>
      <c r="B393" s="6">
        <v>45600</v>
      </c>
      <c r="C393" s="1" t="str">
        <f>"33"</f>
        <v>33</v>
      </c>
      <c r="D393" s="2" t="str">
        <f>"33 Довідки різного характеру"</f>
        <v>33 Довідки різного характеру</v>
      </c>
      <c r="E393" s="1" t="s">
        <v>20</v>
      </c>
      <c r="F393" s="1" t="str">
        <f t="shared" ref="F393:F399" si="55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93" s="1" t="str">
        <f t="shared" si="50"/>
        <v>Фізична особа</v>
      </c>
      <c r="H393" s="1" t="s">
        <v>20</v>
      </c>
      <c r="I393" s="1" t="s">
        <v>20</v>
      </c>
      <c r="J393" s="1" t="str">
        <f t="shared" si="52"/>
        <v>Закрито</v>
      </c>
      <c r="K393" s="5">
        <v>45600</v>
      </c>
      <c r="L393" s="1" t="s">
        <v>20</v>
      </c>
      <c r="M393" s="1" t="s">
        <v>22</v>
      </c>
      <c r="N393" s="5">
        <v>45600</v>
      </c>
    </row>
    <row r="394" spans="1:14" x14ac:dyDescent="0.3">
      <c r="A394" s="1" t="str">
        <f>"1_5636/2129-11/2024/К"</f>
        <v>1_5636/2129-11/2024/К</v>
      </c>
      <c r="B394" s="6">
        <v>45600</v>
      </c>
      <c r="C394" s="1" t="str">
        <f>"00038"</f>
        <v>00038</v>
      </c>
      <c r="D39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94" s="1" t="s">
        <v>20</v>
      </c>
      <c r="F394" s="1" t="str">
        <f t="shared" si="55"/>
        <v>Центр надання адміністративних послуг Рогатинської міської ради</v>
      </c>
      <c r="G394" s="1" t="str">
        <f t="shared" si="50"/>
        <v>Фізична особа</v>
      </c>
      <c r="H394" s="1" t="s">
        <v>20</v>
      </c>
      <c r="I394" s="1" t="s">
        <v>20</v>
      </c>
      <c r="J394" s="1" t="str">
        <f t="shared" si="52"/>
        <v>Закрито</v>
      </c>
      <c r="K394" s="6">
        <v>45600</v>
      </c>
      <c r="L394" s="1" t="s">
        <v>20</v>
      </c>
      <c r="M394" s="1" t="s">
        <v>22</v>
      </c>
      <c r="N394" s="5">
        <v>45600</v>
      </c>
    </row>
    <row r="395" spans="1:14" x14ac:dyDescent="0.3">
      <c r="A395" s="1" t="str">
        <f>"28_623-11/2024/Р"</f>
        <v>28_623-11/2024/Р</v>
      </c>
      <c r="B395" s="6">
        <v>45600</v>
      </c>
      <c r="C395" s="1" t="str">
        <f>"00038"</f>
        <v>00038</v>
      </c>
      <c r="D39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95" s="1" t="s">
        <v>20</v>
      </c>
      <c r="F395" s="1" t="str">
        <f t="shared" si="55"/>
        <v>Центр надання адміністративних послуг Рогатинської міської ради</v>
      </c>
      <c r="G395" s="1" t="str">
        <f t="shared" si="50"/>
        <v>Фізична особа</v>
      </c>
      <c r="H395" s="1" t="s">
        <v>20</v>
      </c>
      <c r="I395" s="1" t="s">
        <v>20</v>
      </c>
      <c r="J395" s="1" t="str">
        <f t="shared" si="52"/>
        <v>Закрито</v>
      </c>
      <c r="K395" s="5">
        <v>45600</v>
      </c>
      <c r="L395" s="1" t="s">
        <v>20</v>
      </c>
      <c r="M395" s="1" t="s">
        <v>22</v>
      </c>
      <c r="N395" s="5">
        <v>45600</v>
      </c>
    </row>
    <row r="396" spans="1:14" x14ac:dyDescent="0.3">
      <c r="A396" s="1" t="str">
        <f>"1_5637/2129-11/2024/Б"</f>
        <v>1_5637/2129-11/2024/Б</v>
      </c>
      <c r="B396" s="6">
        <v>45600</v>
      </c>
      <c r="C396" s="1" t="str">
        <f>"00038"</f>
        <v>00038</v>
      </c>
      <c r="D39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96" s="1" t="s">
        <v>20</v>
      </c>
      <c r="F396" s="1" t="str">
        <f t="shared" si="55"/>
        <v>Центр надання адміністративних послуг Рогатинської міської ради</v>
      </c>
      <c r="G396" s="1" t="str">
        <f t="shared" si="50"/>
        <v>Фізична особа</v>
      </c>
      <c r="H396" s="1" t="s">
        <v>20</v>
      </c>
      <c r="I396" s="1" t="s">
        <v>20</v>
      </c>
      <c r="J396" s="1" t="str">
        <f t="shared" si="52"/>
        <v>Закрито</v>
      </c>
      <c r="K396" s="6">
        <v>45600</v>
      </c>
      <c r="L396" s="1" t="s">
        <v>20</v>
      </c>
      <c r="M396" s="1" t="s">
        <v>22</v>
      </c>
      <c r="N396" s="5">
        <v>45600</v>
      </c>
    </row>
    <row r="397" spans="1:14" x14ac:dyDescent="0.3">
      <c r="A397" s="1" t="str">
        <f>"28_624-11/2024/Р"</f>
        <v>28_624-11/2024/Р</v>
      </c>
      <c r="B397" s="6">
        <v>45600</v>
      </c>
      <c r="C397" s="1" t="str">
        <f>"00038"</f>
        <v>00038</v>
      </c>
      <c r="D39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97" s="1" t="s">
        <v>20</v>
      </c>
      <c r="F397" s="1" t="str">
        <f t="shared" si="55"/>
        <v>Центр надання адміністративних послуг Рогатинської міської ради</v>
      </c>
      <c r="G397" s="1" t="str">
        <f t="shared" si="50"/>
        <v>Фізична особа</v>
      </c>
      <c r="H397" s="1" t="s">
        <v>20</v>
      </c>
      <c r="I397" s="1" t="s">
        <v>20</v>
      </c>
      <c r="J397" s="1" t="str">
        <f t="shared" si="52"/>
        <v>Закрито</v>
      </c>
      <c r="K397" s="5">
        <v>45600</v>
      </c>
      <c r="L397" s="1" t="s">
        <v>20</v>
      </c>
      <c r="M397" s="1" t="s">
        <v>22</v>
      </c>
      <c r="N397" s="5">
        <v>45600</v>
      </c>
    </row>
    <row r="398" spans="1:14" x14ac:dyDescent="0.3">
      <c r="A398" s="1" t="str">
        <f>"3_817-11/2024/Д"</f>
        <v>3_817-11/2024/Д</v>
      </c>
      <c r="B398" s="6">
        <v>45600</v>
      </c>
      <c r="C398" s="1" t="str">
        <f>"33"</f>
        <v>33</v>
      </c>
      <c r="D398" s="2" t="str">
        <f>"33 Довідки різного характеру"</f>
        <v>33 Довідки різного характеру</v>
      </c>
      <c r="E398" s="1" t="s">
        <v>20</v>
      </c>
      <c r="F398" s="1" t="str">
        <f t="shared" si="55"/>
        <v>Центр надання адміністративних послуг Рогатинської міської ради</v>
      </c>
      <c r="G398" s="1" t="str">
        <f t="shared" si="50"/>
        <v>Фізична особа</v>
      </c>
      <c r="H398" s="1" t="s">
        <v>20</v>
      </c>
      <c r="I398" s="1" t="s">
        <v>20</v>
      </c>
      <c r="J398" s="1" t="str">
        <f t="shared" si="52"/>
        <v>Закрито</v>
      </c>
      <c r="K398" s="5">
        <v>45600</v>
      </c>
      <c r="L398" s="1" t="s">
        <v>20</v>
      </c>
      <c r="M398" s="1" t="s">
        <v>22</v>
      </c>
      <c r="N398" s="5">
        <v>45600</v>
      </c>
    </row>
    <row r="399" spans="1:14" x14ac:dyDescent="0.3">
      <c r="A399" s="1" t="str">
        <f>"1_5638/2129-11/2024/Б"</f>
        <v>1_5638/2129-11/2024/Б</v>
      </c>
      <c r="B399" s="6">
        <v>45600</v>
      </c>
      <c r="C399" s="1" t="str">
        <f>"00038"</f>
        <v>00038</v>
      </c>
      <c r="D39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99" s="1" t="s">
        <v>20</v>
      </c>
      <c r="F399" s="1" t="str">
        <f t="shared" si="55"/>
        <v>Центр надання адміністративних послуг Рогатинської міської ради</v>
      </c>
      <c r="G399" s="1" t="str">
        <f t="shared" si="50"/>
        <v>Фізична особа</v>
      </c>
      <c r="H399" s="1" t="s">
        <v>20</v>
      </c>
      <c r="I399" s="1" t="s">
        <v>20</v>
      </c>
      <c r="J399" s="1" t="str">
        <f t="shared" si="52"/>
        <v>Закрито</v>
      </c>
      <c r="K399" s="6">
        <v>45600</v>
      </c>
      <c r="L399" s="1" t="s">
        <v>20</v>
      </c>
      <c r="M399" s="1" t="s">
        <v>22</v>
      </c>
      <c r="N399" s="5">
        <v>45600</v>
      </c>
    </row>
    <row r="400" spans="1:14" x14ac:dyDescent="0.3">
      <c r="A400" s="1" t="str">
        <f>"3_818-11/2024/Д"</f>
        <v>3_818-11/2024/Д</v>
      </c>
      <c r="B400" s="6">
        <v>45600</v>
      </c>
      <c r="C400" s="1" t="str">
        <f>"00155"</f>
        <v>00155</v>
      </c>
      <c r="D400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400" s="1" t="str">
        <f>"03193413"</f>
        <v>03193413</v>
      </c>
      <c r="F40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400" s="1" t="str">
        <f t="shared" si="50"/>
        <v>Фізична особа</v>
      </c>
      <c r="H400" s="1" t="s">
        <v>20</v>
      </c>
      <c r="I400" s="1" t="s">
        <v>20</v>
      </c>
      <c r="J400" s="1" t="str">
        <f t="shared" si="52"/>
        <v>Закрито</v>
      </c>
      <c r="K400" s="5">
        <v>45611</v>
      </c>
      <c r="L400" s="1" t="s">
        <v>20</v>
      </c>
      <c r="M400" s="1" t="s">
        <v>22</v>
      </c>
      <c r="N400" s="5">
        <v>45611</v>
      </c>
    </row>
    <row r="401" spans="1:14" x14ac:dyDescent="0.3">
      <c r="A401" s="1" t="str">
        <f>"3_819-11/2024/Г"</f>
        <v>3_819-11/2024/Г</v>
      </c>
      <c r="B401" s="6">
        <v>45600</v>
      </c>
      <c r="C401" s="1" t="str">
        <f>"33"</f>
        <v>33</v>
      </c>
      <c r="D401" s="2" t="str">
        <f>"33 Довідки різного характеру"</f>
        <v>33 Довідки різного характеру</v>
      </c>
      <c r="E401" s="1" t="s">
        <v>20</v>
      </c>
      <c r="F40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01" s="1" t="str">
        <f t="shared" si="50"/>
        <v>Фізична особа</v>
      </c>
      <c r="H401" s="1" t="s">
        <v>20</v>
      </c>
      <c r="I401" s="1" t="s">
        <v>20</v>
      </c>
      <c r="J401" s="1" t="str">
        <f t="shared" si="52"/>
        <v>Закрито</v>
      </c>
      <c r="K401" s="5">
        <v>45600</v>
      </c>
      <c r="L401" s="1" t="s">
        <v>20</v>
      </c>
      <c r="M401" s="1" t="s">
        <v>22</v>
      </c>
      <c r="N401" s="5">
        <v>45600</v>
      </c>
    </row>
    <row r="402" spans="1:14" x14ac:dyDescent="0.3">
      <c r="A402" s="1" t="str">
        <f>"30_593-11/2024/Г"</f>
        <v>30_593-11/2024/Г</v>
      </c>
      <c r="B402" s="6">
        <v>45600</v>
      </c>
      <c r="C402" s="1" t="str">
        <f>"33"</f>
        <v>33</v>
      </c>
      <c r="D402" s="2" t="str">
        <f>"33 Довідки різного характеру"</f>
        <v>33 Довідки різного характеру</v>
      </c>
      <c r="E402" s="1" t="s">
        <v>20</v>
      </c>
      <c r="F40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02" s="1" t="str">
        <f t="shared" si="50"/>
        <v>Фізична особа</v>
      </c>
      <c r="H402" s="1" t="s">
        <v>20</v>
      </c>
      <c r="I402" s="1" t="s">
        <v>20</v>
      </c>
      <c r="J402" s="1" t="str">
        <f t="shared" si="52"/>
        <v>Закрито</v>
      </c>
      <c r="K402" s="5">
        <v>45600</v>
      </c>
      <c r="L402" s="1" t="s">
        <v>20</v>
      </c>
      <c r="M402" s="1" t="s">
        <v>22</v>
      </c>
      <c r="N402" s="5">
        <v>45600</v>
      </c>
    </row>
    <row r="403" spans="1:14" x14ac:dyDescent="0.3">
      <c r="A403" s="1" t="str">
        <f>"9_1588/04054323-11/2024/С"</f>
        <v>9_1588/04054323-11/2024/С</v>
      </c>
      <c r="B403" s="6">
        <v>45600</v>
      </c>
      <c r="C403" s="1" t="str">
        <f>"01-2"</f>
        <v>01-2</v>
      </c>
      <c r="D403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виробництва"</f>
        <v>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</v>
      </c>
      <c r="E403" s="1" t="str">
        <f>"04054323"</f>
        <v>04054323</v>
      </c>
      <c r="F403" s="1" t="str">
        <f>"Рогатинська міська рада"</f>
        <v>Рогатинська міська рада</v>
      </c>
      <c r="G403" s="1" t="str">
        <f t="shared" si="50"/>
        <v>Фізична особа</v>
      </c>
      <c r="H403" s="1" t="s">
        <v>20</v>
      </c>
      <c r="I403" s="1" t="s">
        <v>20</v>
      </c>
      <c r="J403" s="1" t="str">
        <f t="shared" si="52"/>
        <v>Закрито</v>
      </c>
      <c r="K403" s="5">
        <v>45637</v>
      </c>
      <c r="L403" s="1" t="s">
        <v>20</v>
      </c>
      <c r="M403" s="1" t="s">
        <v>22</v>
      </c>
      <c r="N403" s="5">
        <v>45637</v>
      </c>
    </row>
    <row r="404" spans="1:14" x14ac:dyDescent="0.3">
      <c r="A404" s="1" t="str">
        <f>"28_625-11/2024/Р"</f>
        <v>28_625-11/2024/Р</v>
      </c>
      <c r="B404" s="6">
        <v>45600</v>
      </c>
      <c r="C404" s="1" t="str">
        <f>"00038"</f>
        <v>00038</v>
      </c>
      <c r="D40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04" s="1" t="s">
        <v>20</v>
      </c>
      <c r="F40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04" s="1" t="str">
        <f t="shared" si="50"/>
        <v>Фізична особа</v>
      </c>
      <c r="H404" s="1" t="s">
        <v>20</v>
      </c>
      <c r="I404" s="1" t="s">
        <v>20</v>
      </c>
      <c r="J404" s="1" t="str">
        <f t="shared" si="52"/>
        <v>Закрито</v>
      </c>
      <c r="K404" s="5">
        <v>45600</v>
      </c>
      <c r="L404" s="1" t="s">
        <v>20</v>
      </c>
      <c r="M404" s="1" t="s">
        <v>22</v>
      </c>
      <c r="N404" s="5">
        <v>45600</v>
      </c>
    </row>
    <row r="405" spans="1:14" x14ac:dyDescent="0.3">
      <c r="A405" s="1" t="str">
        <f>"28_626-11/2024/Г"</f>
        <v>28_626-11/2024/Г</v>
      </c>
      <c r="B405" s="6">
        <v>45600</v>
      </c>
      <c r="C405" s="1" t="str">
        <f>"00038"</f>
        <v>00038</v>
      </c>
      <c r="D40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05" s="1" t="s">
        <v>20</v>
      </c>
      <c r="F40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05" s="1" t="str">
        <f t="shared" si="50"/>
        <v>Фізична особа</v>
      </c>
      <c r="H405" s="1" t="s">
        <v>20</v>
      </c>
      <c r="I405" s="1" t="s">
        <v>20</v>
      </c>
      <c r="J405" s="1" t="str">
        <f t="shared" si="52"/>
        <v>Закрито</v>
      </c>
      <c r="K405" s="5">
        <v>45600</v>
      </c>
      <c r="L405" s="1" t="s">
        <v>20</v>
      </c>
      <c r="M405" s="1" t="s">
        <v>22</v>
      </c>
      <c r="N405" s="5">
        <v>45600</v>
      </c>
    </row>
    <row r="406" spans="1:14" x14ac:dyDescent="0.3">
      <c r="A406" s="1" t="str">
        <f>"9_1589/04054323-11/2024/К"</f>
        <v>9_1589/04054323-11/2024/К</v>
      </c>
      <c r="B406" s="6">
        <v>45600</v>
      </c>
      <c r="C406" s="1" t="str">
        <f>"01-2"</f>
        <v>01-2</v>
      </c>
      <c r="D406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виробництва"</f>
        <v>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</v>
      </c>
      <c r="E406" s="1" t="str">
        <f>"04054323"</f>
        <v>04054323</v>
      </c>
      <c r="F406" s="1" t="str">
        <f>"Рогатинська міська рада"</f>
        <v>Рогатинська міська рада</v>
      </c>
      <c r="G406" s="1" t="str">
        <f t="shared" ref="G406:G418" si="56">"Фізична особа"</f>
        <v>Фізична особа</v>
      </c>
      <c r="H406" s="1" t="s">
        <v>20</v>
      </c>
      <c r="I406" s="1" t="s">
        <v>20</v>
      </c>
      <c r="J406" s="1" t="str">
        <f t="shared" si="52"/>
        <v>Закрито</v>
      </c>
      <c r="K406" s="5">
        <v>45637</v>
      </c>
      <c r="L406" s="1" t="s">
        <v>20</v>
      </c>
      <c r="M406" s="1" t="s">
        <v>22</v>
      </c>
      <c r="N406" s="5">
        <v>45637</v>
      </c>
    </row>
    <row r="407" spans="1:14" x14ac:dyDescent="0.3">
      <c r="A407" s="1" t="str">
        <f>"28_627-11/2024/Г"</f>
        <v>28_627-11/2024/Г</v>
      </c>
      <c r="B407" s="6">
        <v>45600</v>
      </c>
      <c r="C407" s="1" t="str">
        <f>"00038"</f>
        <v>00038</v>
      </c>
      <c r="D40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07" s="1" t="s">
        <v>20</v>
      </c>
      <c r="F40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07" s="1" t="str">
        <f t="shared" si="56"/>
        <v>Фізична особа</v>
      </c>
      <c r="H407" s="1" t="s">
        <v>20</v>
      </c>
      <c r="I407" s="1" t="s">
        <v>20</v>
      </c>
      <c r="J407" s="1" t="str">
        <f t="shared" si="52"/>
        <v>Закрито</v>
      </c>
      <c r="K407" s="5">
        <v>45600</v>
      </c>
      <c r="L407" s="1" t="s">
        <v>20</v>
      </c>
      <c r="M407" s="1" t="s">
        <v>22</v>
      </c>
      <c r="N407" s="5">
        <v>45600</v>
      </c>
    </row>
    <row r="408" spans="1:14" x14ac:dyDescent="0.3">
      <c r="A408" s="1" t="str">
        <f>"16_639-11/2024/К"</f>
        <v>16_639-11/2024/К</v>
      </c>
      <c r="B408" s="6">
        <v>45600</v>
      </c>
      <c r="C408" s="1" t="str">
        <f>"33"</f>
        <v>33</v>
      </c>
      <c r="D408" s="2" t="str">
        <f>"33 Довідки різного характеру"</f>
        <v>33 Довідки різного характеру</v>
      </c>
      <c r="E408" s="1" t="s">
        <v>20</v>
      </c>
      <c r="F40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08" s="1" t="str">
        <f t="shared" si="56"/>
        <v>Фізична особа</v>
      </c>
      <c r="H408" s="1" t="s">
        <v>20</v>
      </c>
      <c r="I408" s="1" t="s">
        <v>20</v>
      </c>
      <c r="J408" s="1" t="str">
        <f t="shared" si="52"/>
        <v>Закрито</v>
      </c>
      <c r="K408" s="5">
        <v>45600</v>
      </c>
      <c r="L408" s="1" t="s">
        <v>20</v>
      </c>
      <c r="M408" s="1" t="s">
        <v>22</v>
      </c>
      <c r="N408" s="5">
        <v>45600</v>
      </c>
    </row>
    <row r="409" spans="1:14" x14ac:dyDescent="0.3">
      <c r="A409" s="1" t="str">
        <f>"30_594-11/2024/В"</f>
        <v>30_594-11/2024/В</v>
      </c>
      <c r="B409" s="6">
        <v>45600</v>
      </c>
      <c r="C409" s="1" t="str">
        <f>"01974"</f>
        <v>01974</v>
      </c>
      <c r="D409" s="2" t="str">
        <f>"Призначення пільги на оплату житла, комунальних послуг"</f>
        <v>Призначення пільги на оплату житла, комунальних послуг</v>
      </c>
      <c r="E409" s="1" t="str">
        <f>"03193413"</f>
        <v>03193413</v>
      </c>
      <c r="F40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409" s="1" t="str">
        <f t="shared" si="56"/>
        <v>Фізична особа</v>
      </c>
      <c r="H409" s="1" t="s">
        <v>20</v>
      </c>
      <c r="I409" s="1" t="s">
        <v>20</v>
      </c>
      <c r="J409" s="1" t="str">
        <f t="shared" si="52"/>
        <v>Закрито</v>
      </c>
      <c r="K409" s="1" t="s">
        <v>20</v>
      </c>
      <c r="L409" s="1" t="s">
        <v>20</v>
      </c>
      <c r="M409" s="1" t="s">
        <v>22</v>
      </c>
      <c r="N409" s="1" t="s">
        <v>20</v>
      </c>
    </row>
    <row r="410" spans="1:14" x14ac:dyDescent="0.3">
      <c r="A410" s="1" t="str">
        <f>"28_628-11/2024/Х"</f>
        <v>28_628-11/2024/Х</v>
      </c>
      <c r="B410" s="6">
        <v>45600</v>
      </c>
      <c r="C410" s="1" t="str">
        <f>"00038"</f>
        <v>00038</v>
      </c>
      <c r="D41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10" s="1" t="s">
        <v>20</v>
      </c>
      <c r="F410" s="1" t="str">
        <f t="shared" ref="F410:F417" si="57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10" s="1" t="str">
        <f t="shared" si="56"/>
        <v>Фізична особа</v>
      </c>
      <c r="H410" s="1" t="s">
        <v>20</v>
      </c>
      <c r="I410" s="1" t="s">
        <v>20</v>
      </c>
      <c r="J410" s="1" t="str">
        <f t="shared" si="52"/>
        <v>Закрито</v>
      </c>
      <c r="K410" s="5">
        <v>45600</v>
      </c>
      <c r="L410" s="1" t="s">
        <v>20</v>
      </c>
      <c r="M410" s="1" t="s">
        <v>22</v>
      </c>
      <c r="N410" s="5">
        <v>45600</v>
      </c>
    </row>
    <row r="411" spans="1:14" x14ac:dyDescent="0.3">
      <c r="A411" s="1" t="str">
        <f>"16_640-11/2024/К"</f>
        <v>16_640-11/2024/К</v>
      </c>
      <c r="B411" s="6">
        <v>45600</v>
      </c>
      <c r="C411" s="1" t="str">
        <f>"33"</f>
        <v>33</v>
      </c>
      <c r="D411" s="2" t="str">
        <f>"33 Довідки різного характеру"</f>
        <v>33 Довідки різного характеру</v>
      </c>
      <c r="E411" s="1" t="s">
        <v>20</v>
      </c>
      <c r="F411" s="1" t="str">
        <f t="shared" si="57"/>
        <v>Центр надання адміністративних послуг Рогатинської міської ради</v>
      </c>
      <c r="G411" s="1" t="str">
        <f t="shared" si="56"/>
        <v>Фізична особа</v>
      </c>
      <c r="H411" s="1" t="s">
        <v>20</v>
      </c>
      <c r="I411" s="1" t="s">
        <v>20</v>
      </c>
      <c r="J411" s="1" t="str">
        <f t="shared" si="52"/>
        <v>Закрито</v>
      </c>
      <c r="K411" s="5">
        <v>45600</v>
      </c>
      <c r="L411" s="1" t="s">
        <v>20</v>
      </c>
      <c r="M411" s="1" t="s">
        <v>22</v>
      </c>
      <c r="N411" s="5">
        <v>45600</v>
      </c>
    </row>
    <row r="412" spans="1:14" x14ac:dyDescent="0.3">
      <c r="A412" s="1" t="str">
        <f>"2_1852/2129-11/2024/Б"</f>
        <v>2_1852/2129-11/2024/Б</v>
      </c>
      <c r="B412" s="6">
        <v>45600</v>
      </c>
      <c r="C412" s="1" t="str">
        <f>"00041"</f>
        <v>00041</v>
      </c>
      <c r="D41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412" s="1" t="s">
        <v>20</v>
      </c>
      <c r="F412" s="1" t="str">
        <f t="shared" si="57"/>
        <v>Центр надання адміністративних послуг Рогатинської міської ради</v>
      </c>
      <c r="G412" s="1" t="str">
        <f t="shared" si="56"/>
        <v>Фізична особа</v>
      </c>
      <c r="H412" s="1" t="s">
        <v>20</v>
      </c>
      <c r="I412" s="1" t="s">
        <v>20</v>
      </c>
      <c r="J412" s="1" t="str">
        <f t="shared" si="52"/>
        <v>Закрито</v>
      </c>
      <c r="K412" s="5">
        <v>45601</v>
      </c>
      <c r="L412" s="1" t="s">
        <v>20</v>
      </c>
      <c r="M412" s="1" t="s">
        <v>22</v>
      </c>
      <c r="N412" s="5">
        <v>45601</v>
      </c>
    </row>
    <row r="413" spans="1:14" x14ac:dyDescent="0.3">
      <c r="A413" s="1" t="str">
        <f>"18_593-11/2024/П"</f>
        <v>18_593-11/2024/П</v>
      </c>
      <c r="B413" s="6">
        <v>45600</v>
      </c>
      <c r="C413" s="1" t="str">
        <f>"00038"</f>
        <v>00038</v>
      </c>
      <c r="D41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13" s="1" t="s">
        <v>20</v>
      </c>
      <c r="F413" s="1" t="str">
        <f t="shared" si="57"/>
        <v>Центр надання адміністративних послуг Рогатинської міської ради</v>
      </c>
      <c r="G413" s="1" t="str">
        <f t="shared" si="56"/>
        <v>Фізична особа</v>
      </c>
      <c r="H413" s="1" t="s">
        <v>20</v>
      </c>
      <c r="I413" s="1" t="s">
        <v>20</v>
      </c>
      <c r="J413" s="1" t="str">
        <f t="shared" si="52"/>
        <v>Закрито</v>
      </c>
      <c r="K413" s="5">
        <v>45600</v>
      </c>
      <c r="L413" s="1" t="s">
        <v>20</v>
      </c>
      <c r="M413" s="1" t="s">
        <v>22</v>
      </c>
      <c r="N413" s="5">
        <v>45600</v>
      </c>
    </row>
    <row r="414" spans="1:14" x14ac:dyDescent="0.3">
      <c r="A414" s="1" t="str">
        <f>"2_1853/2129-11/2024/Б"</f>
        <v>2_1853/2129-11/2024/Б</v>
      </c>
      <c r="B414" s="6">
        <v>45600</v>
      </c>
      <c r="C414" s="1" t="str">
        <f>"00041"</f>
        <v>00041</v>
      </c>
      <c r="D41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414" s="1" t="s">
        <v>20</v>
      </c>
      <c r="F414" s="1" t="str">
        <f t="shared" si="57"/>
        <v>Центр надання адміністративних послуг Рогатинської міської ради</v>
      </c>
      <c r="G414" s="1" t="str">
        <f t="shared" si="56"/>
        <v>Фізична особа</v>
      </c>
      <c r="H414" s="1" t="s">
        <v>20</v>
      </c>
      <c r="I414" s="1" t="s">
        <v>20</v>
      </c>
      <c r="J414" s="1" t="str">
        <f t="shared" si="52"/>
        <v>Закрито</v>
      </c>
      <c r="K414" s="5">
        <v>45601</v>
      </c>
      <c r="L414" s="1" t="s">
        <v>20</v>
      </c>
      <c r="M414" s="1" t="s">
        <v>22</v>
      </c>
      <c r="N414" s="5">
        <v>45601</v>
      </c>
    </row>
    <row r="415" spans="1:14" x14ac:dyDescent="0.3">
      <c r="A415" s="1" t="str">
        <f>"2_1854/2129-11/2024/Б"</f>
        <v>2_1854/2129-11/2024/Б</v>
      </c>
      <c r="B415" s="6">
        <v>45600</v>
      </c>
      <c r="C415" s="1" t="str">
        <f>"00041"</f>
        <v>00041</v>
      </c>
      <c r="D41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415" s="1" t="s">
        <v>20</v>
      </c>
      <c r="F415" s="1" t="str">
        <f t="shared" si="57"/>
        <v>Центр надання адміністративних послуг Рогатинської міської ради</v>
      </c>
      <c r="G415" s="1" t="str">
        <f t="shared" si="56"/>
        <v>Фізична особа</v>
      </c>
      <c r="H415" s="1" t="s">
        <v>20</v>
      </c>
      <c r="I415" s="1" t="s">
        <v>20</v>
      </c>
      <c r="J415" s="1" t="str">
        <f t="shared" si="52"/>
        <v>Закрито</v>
      </c>
      <c r="K415" s="5">
        <v>45601</v>
      </c>
      <c r="L415" s="1" t="s">
        <v>20</v>
      </c>
      <c r="M415" s="1" t="s">
        <v>22</v>
      </c>
      <c r="N415" s="5">
        <v>45601</v>
      </c>
    </row>
    <row r="416" spans="1:14" x14ac:dyDescent="0.3">
      <c r="A416" s="1" t="str">
        <f>"18_594-11/2024/К"</f>
        <v>18_594-11/2024/К</v>
      </c>
      <c r="B416" s="6">
        <v>45600</v>
      </c>
      <c r="C416" s="1" t="str">
        <f>"00038"</f>
        <v>00038</v>
      </c>
      <c r="D41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16" s="1" t="s">
        <v>20</v>
      </c>
      <c r="F416" s="1" t="str">
        <f t="shared" si="57"/>
        <v>Центр надання адміністративних послуг Рогатинської міської ради</v>
      </c>
      <c r="G416" s="1" t="str">
        <f t="shared" si="56"/>
        <v>Фізична особа</v>
      </c>
      <c r="H416" s="1" t="s">
        <v>20</v>
      </c>
      <c r="I416" s="1" t="s">
        <v>20</v>
      </c>
      <c r="J416" s="1" t="str">
        <f t="shared" si="52"/>
        <v>Закрито</v>
      </c>
      <c r="K416" s="5">
        <v>45600</v>
      </c>
      <c r="L416" s="1" t="s">
        <v>20</v>
      </c>
      <c r="M416" s="1" t="s">
        <v>22</v>
      </c>
      <c r="N416" s="5">
        <v>45600</v>
      </c>
    </row>
    <row r="417" spans="1:14" x14ac:dyDescent="0.3">
      <c r="A417" s="1" t="str">
        <f>"2_1855/2129-11/2024/Г"</f>
        <v>2_1855/2129-11/2024/Г</v>
      </c>
      <c r="B417" s="6">
        <v>45600</v>
      </c>
      <c r="C417" s="1" t="str">
        <f>"00042"</f>
        <v>00042</v>
      </c>
      <c r="D417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417" s="1" t="s">
        <v>20</v>
      </c>
      <c r="F417" s="1" t="str">
        <f t="shared" si="57"/>
        <v>Центр надання адміністративних послуг Рогатинської міської ради</v>
      </c>
      <c r="G417" s="1" t="str">
        <f t="shared" si="56"/>
        <v>Фізична особа</v>
      </c>
      <c r="H417" s="1" t="s">
        <v>20</v>
      </c>
      <c r="I417" s="1" t="s">
        <v>20</v>
      </c>
      <c r="J417" s="1" t="str">
        <f t="shared" si="52"/>
        <v>Закрито</v>
      </c>
      <c r="K417" s="5">
        <v>45601</v>
      </c>
      <c r="L417" s="1" t="s">
        <v>20</v>
      </c>
      <c r="M417" s="1" t="s">
        <v>22</v>
      </c>
      <c r="N417" s="5">
        <v>45601</v>
      </c>
    </row>
    <row r="418" spans="1:14" x14ac:dyDescent="0.3">
      <c r="A418" s="1" t="str">
        <f>"9_1590/04054323-11/2024/Д"</f>
        <v>9_1590/04054323-11/2024/Д</v>
      </c>
      <c r="B418" s="6">
        <v>45600</v>
      </c>
      <c r="C418" s="1" t="str">
        <f>"01-1"</f>
        <v>01-1</v>
      </c>
      <c r="D418" s="2" t="s">
        <v>0</v>
      </c>
      <c r="E418" s="1" t="str">
        <f>"04054323"</f>
        <v>04054323</v>
      </c>
      <c r="F418" s="1" t="str">
        <f>"Рогатинська міська рада"</f>
        <v>Рогатинська міська рада</v>
      </c>
      <c r="G418" s="1" t="str">
        <f t="shared" si="56"/>
        <v>Фізична особа</v>
      </c>
      <c r="H418" s="1" t="s">
        <v>20</v>
      </c>
      <c r="I418" s="1" t="s">
        <v>20</v>
      </c>
      <c r="J418" s="1" t="str">
        <f t="shared" si="52"/>
        <v>Закрито</v>
      </c>
      <c r="K418" s="5">
        <v>45637</v>
      </c>
      <c r="L418" s="1" t="s">
        <v>20</v>
      </c>
      <c r="M418" s="1" t="s">
        <v>22</v>
      </c>
      <c r="N418" s="5">
        <v>45637</v>
      </c>
    </row>
    <row r="419" spans="1:14" x14ac:dyDescent="0.3">
      <c r="A419" s="1" t="str">
        <f>"2_1856/2129-11/2024/с"</f>
        <v>2_1856/2129-11/2024/с</v>
      </c>
      <c r="B419" s="6">
        <v>45600</v>
      </c>
      <c r="C419" s="1" t="str">
        <f>"00042"</f>
        <v>00042</v>
      </c>
      <c r="D419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419" s="1" t="s">
        <v>20</v>
      </c>
      <c r="F419" s="1" t="str">
        <f t="shared" ref="F419:F427" si="58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19" s="1" t="str">
        <f>"Юридична особа"</f>
        <v>Юридична особа</v>
      </c>
      <c r="H419" s="1" t="str">
        <f>"сількогосподарське товариство з обмеженою відповідальністю ""У'їзд"""</f>
        <v>сількогосподарське товариство з обмеженою відповідальністю "У'їзд"</v>
      </c>
      <c r="I419" s="1" t="str">
        <f>"03752445"</f>
        <v>03752445</v>
      </c>
      <c r="J419" s="1" t="str">
        <f t="shared" si="52"/>
        <v>Закрито</v>
      </c>
      <c r="K419" s="5">
        <v>45601</v>
      </c>
      <c r="L419" s="1" t="s">
        <v>20</v>
      </c>
      <c r="M419" s="1" t="s">
        <v>22</v>
      </c>
      <c r="N419" s="5">
        <v>45601</v>
      </c>
    </row>
    <row r="420" spans="1:14" x14ac:dyDescent="0.3">
      <c r="A420" s="1" t="str">
        <f>"2_1857/2129-11/2024/С"</f>
        <v>2_1857/2129-11/2024/С</v>
      </c>
      <c r="B420" s="6">
        <v>45600</v>
      </c>
      <c r="C420" s="1" t="str">
        <f>"00041"</f>
        <v>00041</v>
      </c>
      <c r="D42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420" s="1" t="s">
        <v>20</v>
      </c>
      <c r="F420" s="1" t="str">
        <f t="shared" si="58"/>
        <v>Центр надання адміністративних послуг Рогатинської міської ради</v>
      </c>
      <c r="G420" s="1" t="str">
        <f t="shared" ref="G420:G451" si="59">"Фізична особа"</f>
        <v>Фізична особа</v>
      </c>
      <c r="H420" s="1" t="s">
        <v>20</v>
      </c>
      <c r="I420" s="1" t="s">
        <v>20</v>
      </c>
      <c r="J420" s="1" t="str">
        <f>"Результат підготовлено СНАП"</f>
        <v>Результат підготовлено СНАП</v>
      </c>
      <c r="K420" s="5">
        <v>45601</v>
      </c>
      <c r="L420" s="1" t="s">
        <v>20</v>
      </c>
      <c r="M420" s="1" t="s">
        <v>22</v>
      </c>
      <c r="N420" s="5">
        <v>45601</v>
      </c>
    </row>
    <row r="421" spans="1:14" x14ac:dyDescent="0.3">
      <c r="A421" s="1" t="str">
        <f>"15_322-11/2024/К"</f>
        <v>15_322-11/2024/К</v>
      </c>
      <c r="B421" s="6">
        <v>45600</v>
      </c>
      <c r="C421" s="1" t="str">
        <f>"00038"</f>
        <v>00038</v>
      </c>
      <c r="D42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21" s="1" t="s">
        <v>20</v>
      </c>
      <c r="F421" s="1" t="str">
        <f t="shared" si="58"/>
        <v>Центр надання адміністративних послуг Рогатинської міської ради</v>
      </c>
      <c r="G421" s="1" t="str">
        <f t="shared" si="59"/>
        <v>Фізична особа</v>
      </c>
      <c r="H421" s="1" t="s">
        <v>20</v>
      </c>
      <c r="I421" s="1" t="s">
        <v>20</v>
      </c>
      <c r="J421" s="1" t="str">
        <f t="shared" ref="J421:J429" si="60">"Закрито"</f>
        <v>Закрито</v>
      </c>
      <c r="K421" s="5">
        <v>45600</v>
      </c>
      <c r="L421" s="1" t="s">
        <v>20</v>
      </c>
      <c r="M421" s="1" t="s">
        <v>22</v>
      </c>
      <c r="N421" s="5">
        <v>45600</v>
      </c>
    </row>
    <row r="422" spans="1:14" x14ac:dyDescent="0.3">
      <c r="A422" s="1" t="str">
        <f>"2_1858/2129-11/2024/С"</f>
        <v>2_1858/2129-11/2024/С</v>
      </c>
      <c r="B422" s="6">
        <v>45600</v>
      </c>
      <c r="C422" s="1" t="str">
        <f>"00041"</f>
        <v>00041</v>
      </c>
      <c r="D42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422" s="1" t="s">
        <v>20</v>
      </c>
      <c r="F422" s="1" t="str">
        <f t="shared" si="58"/>
        <v>Центр надання адміністративних послуг Рогатинської міської ради</v>
      </c>
      <c r="G422" s="1" t="str">
        <f t="shared" si="59"/>
        <v>Фізична особа</v>
      </c>
      <c r="H422" s="1" t="s">
        <v>20</v>
      </c>
      <c r="I422" s="1" t="s">
        <v>20</v>
      </c>
      <c r="J422" s="1" t="str">
        <f t="shared" si="60"/>
        <v>Закрито</v>
      </c>
      <c r="K422" s="5">
        <v>45601</v>
      </c>
      <c r="L422" s="1" t="s">
        <v>20</v>
      </c>
      <c r="M422" s="1" t="s">
        <v>22</v>
      </c>
      <c r="N422" s="5">
        <v>45601</v>
      </c>
    </row>
    <row r="423" spans="1:14" x14ac:dyDescent="0.3">
      <c r="A423" s="1" t="str">
        <f>"21_633-11/2024/Г"</f>
        <v>21_633-11/2024/Г</v>
      </c>
      <c r="B423" s="6">
        <v>45600</v>
      </c>
      <c r="C423" s="1" t="str">
        <f>"00038"</f>
        <v>00038</v>
      </c>
      <c r="D42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23" s="1" t="s">
        <v>20</v>
      </c>
      <c r="F423" s="1" t="str">
        <f t="shared" si="58"/>
        <v>Центр надання адміністративних послуг Рогатинської міської ради</v>
      </c>
      <c r="G423" s="1" t="str">
        <f t="shared" si="59"/>
        <v>Фізична особа</v>
      </c>
      <c r="H423" s="1" t="s">
        <v>20</v>
      </c>
      <c r="I423" s="1" t="s">
        <v>20</v>
      </c>
      <c r="J423" s="1" t="str">
        <f t="shared" si="60"/>
        <v>Закрито</v>
      </c>
      <c r="K423" s="5">
        <v>45600</v>
      </c>
      <c r="L423" s="1" t="s">
        <v>20</v>
      </c>
      <c r="M423" s="1" t="s">
        <v>22</v>
      </c>
      <c r="N423" s="5">
        <v>45600</v>
      </c>
    </row>
    <row r="424" spans="1:14" x14ac:dyDescent="0.3">
      <c r="A424" s="1" t="str">
        <f>"18_595-11/2024/П"</f>
        <v>18_595-11/2024/П</v>
      </c>
      <c r="B424" s="6">
        <v>45600</v>
      </c>
      <c r="C424" s="1" t="str">
        <f>"00038"</f>
        <v>00038</v>
      </c>
      <c r="D42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24" s="1" t="s">
        <v>20</v>
      </c>
      <c r="F424" s="1" t="str">
        <f t="shared" si="58"/>
        <v>Центр надання адміністративних послуг Рогатинської міської ради</v>
      </c>
      <c r="G424" s="1" t="str">
        <f t="shared" si="59"/>
        <v>Фізична особа</v>
      </c>
      <c r="H424" s="1" t="s">
        <v>20</v>
      </c>
      <c r="I424" s="1" t="s">
        <v>20</v>
      </c>
      <c r="J424" s="1" t="str">
        <f t="shared" si="60"/>
        <v>Закрито</v>
      </c>
      <c r="K424" s="5">
        <v>45600</v>
      </c>
      <c r="L424" s="1" t="s">
        <v>20</v>
      </c>
      <c r="M424" s="1" t="s">
        <v>22</v>
      </c>
      <c r="N424" s="5">
        <v>45600</v>
      </c>
    </row>
    <row r="425" spans="1:14" x14ac:dyDescent="0.3">
      <c r="A425" s="1" t="str">
        <f>"2_1859/2129-11/2024/Д"</f>
        <v>2_1859/2129-11/2024/Д</v>
      </c>
      <c r="B425" s="6">
        <v>45600</v>
      </c>
      <c r="C425" s="1" t="str">
        <f>"00047"</f>
        <v>00047</v>
      </c>
      <c r="D425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425" s="1" t="s">
        <v>20</v>
      </c>
      <c r="F425" s="1" t="str">
        <f t="shared" si="58"/>
        <v>Центр надання адміністративних послуг Рогатинської міської ради</v>
      </c>
      <c r="G425" s="1" t="str">
        <f t="shared" si="59"/>
        <v>Фізична особа</v>
      </c>
      <c r="H425" s="1" t="s">
        <v>20</v>
      </c>
      <c r="I425" s="1" t="s">
        <v>20</v>
      </c>
      <c r="J425" s="1" t="str">
        <f t="shared" si="60"/>
        <v>Закрито</v>
      </c>
      <c r="K425" s="5">
        <v>45601</v>
      </c>
      <c r="L425" s="1" t="s">
        <v>20</v>
      </c>
      <c r="M425" s="1" t="s">
        <v>22</v>
      </c>
      <c r="N425" s="5">
        <v>45601</v>
      </c>
    </row>
    <row r="426" spans="1:14" x14ac:dyDescent="0.3">
      <c r="A426" s="1" t="str">
        <f>"18_596-11/2024/К"</f>
        <v>18_596-11/2024/К</v>
      </c>
      <c r="B426" s="6">
        <v>45600</v>
      </c>
      <c r="C426" s="1" t="str">
        <f>"00038"</f>
        <v>00038</v>
      </c>
      <c r="D42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26" s="1" t="s">
        <v>20</v>
      </c>
      <c r="F426" s="1" t="str">
        <f t="shared" si="58"/>
        <v>Центр надання адміністративних послуг Рогатинської міської ради</v>
      </c>
      <c r="G426" s="1" t="str">
        <f t="shared" si="59"/>
        <v>Фізична особа</v>
      </c>
      <c r="H426" s="1" t="s">
        <v>20</v>
      </c>
      <c r="I426" s="1" t="s">
        <v>20</v>
      </c>
      <c r="J426" s="1" t="str">
        <f t="shared" si="60"/>
        <v>Закрито</v>
      </c>
      <c r="K426" s="5">
        <v>45600</v>
      </c>
      <c r="L426" s="1" t="s">
        <v>20</v>
      </c>
      <c r="M426" s="1" t="s">
        <v>22</v>
      </c>
      <c r="N426" s="5">
        <v>45600</v>
      </c>
    </row>
    <row r="427" spans="1:14" x14ac:dyDescent="0.3">
      <c r="A427" s="1" t="str">
        <f>"14_947-11/2024/М"</f>
        <v>14_947-11/2024/М</v>
      </c>
      <c r="B427" s="6">
        <v>45600</v>
      </c>
      <c r="C427" s="1" t="str">
        <f>"00038"</f>
        <v>00038</v>
      </c>
      <c r="D42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27" s="1" t="s">
        <v>20</v>
      </c>
      <c r="F427" s="1" t="str">
        <f t="shared" si="58"/>
        <v>Центр надання адміністративних послуг Рогатинської міської ради</v>
      </c>
      <c r="G427" s="1" t="str">
        <f t="shared" si="59"/>
        <v>Фізична особа</v>
      </c>
      <c r="H427" s="1" t="s">
        <v>20</v>
      </c>
      <c r="I427" s="1" t="s">
        <v>20</v>
      </c>
      <c r="J427" s="1" t="str">
        <f t="shared" si="60"/>
        <v>Закрито</v>
      </c>
      <c r="K427" s="5">
        <v>45600</v>
      </c>
      <c r="L427" s="1" t="s">
        <v>20</v>
      </c>
      <c r="M427" s="1" t="s">
        <v>22</v>
      </c>
      <c r="N427" s="5">
        <v>45600</v>
      </c>
    </row>
    <row r="428" spans="1:14" x14ac:dyDescent="0.3">
      <c r="A428" s="1" t="str">
        <f>"8_515-11/2024/М"</f>
        <v>8_515-11/2024/М</v>
      </c>
      <c r="B428" s="6">
        <v>45600</v>
      </c>
      <c r="C428" s="1" t="str">
        <f>"00133"</f>
        <v>00133</v>
      </c>
      <c r="D428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428" s="1" t="str">
        <f>"03193413"</f>
        <v>03193413</v>
      </c>
      <c r="F42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428" s="1" t="str">
        <f t="shared" si="59"/>
        <v>Фізична особа</v>
      </c>
      <c r="H428" s="1" t="s">
        <v>20</v>
      </c>
      <c r="I428" s="1" t="s">
        <v>20</v>
      </c>
      <c r="J428" s="1" t="str">
        <f t="shared" si="60"/>
        <v>Закрито</v>
      </c>
      <c r="K428" s="5">
        <v>45603</v>
      </c>
      <c r="L428" s="1" t="s">
        <v>20</v>
      </c>
      <c r="M428" s="1" t="s">
        <v>22</v>
      </c>
      <c r="N428" s="5">
        <v>45603</v>
      </c>
    </row>
    <row r="429" spans="1:14" x14ac:dyDescent="0.3">
      <c r="A429" s="1" t="str">
        <f>"2_1860/2129-11/2024/К"</f>
        <v>2_1860/2129-11/2024/К</v>
      </c>
      <c r="B429" s="6">
        <v>45600</v>
      </c>
      <c r="C429" s="1" t="str">
        <f>"00041"</f>
        <v>00041</v>
      </c>
      <c r="D42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429" s="1" t="s">
        <v>20</v>
      </c>
      <c r="F42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29" s="1" t="str">
        <f t="shared" si="59"/>
        <v>Фізична особа</v>
      </c>
      <c r="H429" s="1" t="s">
        <v>20</v>
      </c>
      <c r="I429" s="1" t="s">
        <v>20</v>
      </c>
      <c r="J429" s="1" t="str">
        <f t="shared" si="60"/>
        <v>Закрито</v>
      </c>
      <c r="K429" s="5">
        <v>45601</v>
      </c>
      <c r="L429" s="1" t="s">
        <v>20</v>
      </c>
      <c r="M429" s="1" t="s">
        <v>22</v>
      </c>
      <c r="N429" s="5">
        <v>45601</v>
      </c>
    </row>
    <row r="430" spans="1:14" x14ac:dyDescent="0.3">
      <c r="A430" s="1" t="str">
        <f>"18_597-11/2024/Г"</f>
        <v>18_597-11/2024/Г</v>
      </c>
      <c r="B430" s="6">
        <v>45600</v>
      </c>
      <c r="C430" s="1" t="str">
        <f>"00155"</f>
        <v>00155</v>
      </c>
      <c r="D430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430" s="1" t="str">
        <f>"03193413"</f>
        <v>03193413</v>
      </c>
      <c r="F43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430" s="1" t="str">
        <f t="shared" si="59"/>
        <v>Фізична особа</v>
      </c>
      <c r="H430" s="1" t="s">
        <v>20</v>
      </c>
      <c r="I430" s="1" t="s">
        <v>20</v>
      </c>
      <c r="J430" s="1" t="str">
        <f>"На обробці в СНАП"</f>
        <v>На обробці в СНАП</v>
      </c>
      <c r="K430" s="1" t="s">
        <v>20</v>
      </c>
      <c r="L430" s="1" t="s">
        <v>20</v>
      </c>
      <c r="M430" s="1" t="s">
        <v>22</v>
      </c>
      <c r="N430" s="1" t="s">
        <v>20</v>
      </c>
    </row>
    <row r="431" spans="1:14" x14ac:dyDescent="0.3">
      <c r="A431" s="1" t="str">
        <f>"18_598-11/2024/Г"</f>
        <v>18_598-11/2024/Г</v>
      </c>
      <c r="B431" s="6">
        <v>45600</v>
      </c>
      <c r="C431" s="1" t="str">
        <f>"33"</f>
        <v>33</v>
      </c>
      <c r="D431" s="2" t="str">
        <f>"33 Довідки різного характеру"</f>
        <v>33 Довідки різного характеру</v>
      </c>
      <c r="E431" s="1" t="s">
        <v>20</v>
      </c>
      <c r="F431" s="1" t="str">
        <f t="shared" ref="F431:F437" si="6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31" s="1" t="str">
        <f t="shared" si="59"/>
        <v>Фізична особа</v>
      </c>
      <c r="H431" s="1" t="s">
        <v>20</v>
      </c>
      <c r="I431" s="1" t="s">
        <v>20</v>
      </c>
      <c r="J431" s="1" t="str">
        <f t="shared" ref="J431:J437" si="62">"Закрито"</f>
        <v>Закрито</v>
      </c>
      <c r="K431" s="5">
        <v>45600</v>
      </c>
      <c r="L431" s="1" t="s">
        <v>20</v>
      </c>
      <c r="M431" s="1" t="s">
        <v>22</v>
      </c>
      <c r="N431" s="5">
        <v>45600</v>
      </c>
    </row>
    <row r="432" spans="1:14" x14ac:dyDescent="0.3">
      <c r="A432" s="1" t="str">
        <f>"20_154-11/2024/Б"</f>
        <v>20_154-11/2024/Б</v>
      </c>
      <c r="B432" s="6">
        <v>45600</v>
      </c>
      <c r="C432" s="1" t="str">
        <f>"00038"</f>
        <v>00038</v>
      </c>
      <c r="D43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32" s="1" t="s">
        <v>20</v>
      </c>
      <c r="F432" s="1" t="str">
        <f t="shared" si="61"/>
        <v>Центр надання адміністративних послуг Рогатинської міської ради</v>
      </c>
      <c r="G432" s="1" t="str">
        <f t="shared" si="59"/>
        <v>Фізична особа</v>
      </c>
      <c r="H432" s="1" t="s">
        <v>20</v>
      </c>
      <c r="I432" s="1" t="s">
        <v>20</v>
      </c>
      <c r="J432" s="1" t="str">
        <f t="shared" si="62"/>
        <v>Закрито</v>
      </c>
      <c r="K432" s="5">
        <v>45600</v>
      </c>
      <c r="L432" s="1" t="s">
        <v>20</v>
      </c>
      <c r="M432" s="1" t="s">
        <v>22</v>
      </c>
      <c r="N432" s="5">
        <v>45600</v>
      </c>
    </row>
    <row r="433" spans="1:14" x14ac:dyDescent="0.3">
      <c r="A433" s="1" t="str">
        <f>"18_599-11/2024/З"</f>
        <v>18_599-11/2024/З</v>
      </c>
      <c r="B433" s="6">
        <v>45600</v>
      </c>
      <c r="C433" s="1" t="str">
        <f>"33"</f>
        <v>33</v>
      </c>
      <c r="D433" s="2" t="str">
        <f>"33 Довідки різного характеру"</f>
        <v>33 Довідки різного характеру</v>
      </c>
      <c r="E433" s="1" t="s">
        <v>20</v>
      </c>
      <c r="F433" s="1" t="str">
        <f t="shared" si="61"/>
        <v>Центр надання адміністративних послуг Рогатинської міської ради</v>
      </c>
      <c r="G433" s="1" t="str">
        <f t="shared" si="59"/>
        <v>Фізична особа</v>
      </c>
      <c r="H433" s="1" t="s">
        <v>20</v>
      </c>
      <c r="I433" s="1" t="s">
        <v>20</v>
      </c>
      <c r="J433" s="1" t="str">
        <f t="shared" si="62"/>
        <v>Закрито</v>
      </c>
      <c r="K433" s="5">
        <v>45600</v>
      </c>
      <c r="L433" s="1" t="s">
        <v>20</v>
      </c>
      <c r="M433" s="1" t="s">
        <v>22</v>
      </c>
      <c r="N433" s="5">
        <v>45600</v>
      </c>
    </row>
    <row r="434" spans="1:14" x14ac:dyDescent="0.3">
      <c r="A434" s="1" t="str">
        <f>"35_493-11/2024/Х"</f>
        <v>35_493-11/2024/Х</v>
      </c>
      <c r="B434" s="6">
        <v>45600</v>
      </c>
      <c r="C434" s="1" t="str">
        <f>"00038"</f>
        <v>00038</v>
      </c>
      <c r="D43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34" s="1" t="s">
        <v>20</v>
      </c>
      <c r="F434" s="1" t="str">
        <f t="shared" si="61"/>
        <v>Центр надання адміністративних послуг Рогатинської міської ради</v>
      </c>
      <c r="G434" s="1" t="str">
        <f t="shared" si="59"/>
        <v>Фізична особа</v>
      </c>
      <c r="H434" s="1" t="s">
        <v>20</v>
      </c>
      <c r="I434" s="1" t="s">
        <v>20</v>
      </c>
      <c r="J434" s="1" t="str">
        <f t="shared" si="62"/>
        <v>Закрито</v>
      </c>
      <c r="K434" s="5">
        <v>45600</v>
      </c>
      <c r="L434" s="1" t="s">
        <v>20</v>
      </c>
      <c r="M434" s="1" t="s">
        <v>22</v>
      </c>
      <c r="N434" s="5">
        <v>45600</v>
      </c>
    </row>
    <row r="435" spans="1:14" x14ac:dyDescent="0.3">
      <c r="A435" s="1" t="str">
        <f>"35_494-11/2024/Р"</f>
        <v>35_494-11/2024/Р</v>
      </c>
      <c r="B435" s="6">
        <v>45600</v>
      </c>
      <c r="C435" s="1" t="str">
        <f>"00038"</f>
        <v>00038</v>
      </c>
      <c r="D43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35" s="1" t="s">
        <v>20</v>
      </c>
      <c r="F435" s="1" t="str">
        <f t="shared" si="61"/>
        <v>Центр надання адміністративних послуг Рогатинської міської ради</v>
      </c>
      <c r="G435" s="1" t="str">
        <f t="shared" si="59"/>
        <v>Фізична особа</v>
      </c>
      <c r="H435" s="1" t="s">
        <v>20</v>
      </c>
      <c r="I435" s="1" t="s">
        <v>20</v>
      </c>
      <c r="J435" s="1" t="str">
        <f t="shared" si="62"/>
        <v>Закрито</v>
      </c>
      <c r="K435" s="5">
        <v>45600</v>
      </c>
      <c r="L435" s="1" t="s">
        <v>20</v>
      </c>
      <c r="M435" s="1" t="s">
        <v>22</v>
      </c>
      <c r="N435" s="5">
        <v>45600</v>
      </c>
    </row>
    <row r="436" spans="1:14" x14ac:dyDescent="0.3">
      <c r="A436" s="1" t="str">
        <f>"16_641-11/2024/К"</f>
        <v>16_641-11/2024/К</v>
      </c>
      <c r="B436" s="6">
        <v>45600</v>
      </c>
      <c r="C436" s="1" t="str">
        <f>"00038"</f>
        <v>00038</v>
      </c>
      <c r="D43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36" s="1" t="s">
        <v>20</v>
      </c>
      <c r="F436" s="1" t="str">
        <f t="shared" si="61"/>
        <v>Центр надання адміністративних послуг Рогатинської міської ради</v>
      </c>
      <c r="G436" s="1" t="str">
        <f t="shared" si="59"/>
        <v>Фізична особа</v>
      </c>
      <c r="H436" s="1" t="s">
        <v>20</v>
      </c>
      <c r="I436" s="1" t="s">
        <v>20</v>
      </c>
      <c r="J436" s="1" t="str">
        <f t="shared" si="62"/>
        <v>Закрито</v>
      </c>
      <c r="K436" s="5">
        <v>45600</v>
      </c>
      <c r="L436" s="1" t="s">
        <v>20</v>
      </c>
      <c r="M436" s="1" t="s">
        <v>22</v>
      </c>
      <c r="N436" s="5">
        <v>45600</v>
      </c>
    </row>
    <row r="437" spans="1:14" x14ac:dyDescent="0.3">
      <c r="A437" s="1" t="str">
        <f>"18_600-11/2024/Б"</f>
        <v>18_600-11/2024/Б</v>
      </c>
      <c r="B437" s="6">
        <v>45600</v>
      </c>
      <c r="C437" s="1" t="str">
        <f>"01495"</f>
        <v>01495</v>
      </c>
      <c r="D437" s="2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437" s="1" t="s">
        <v>20</v>
      </c>
      <c r="F437" s="1" t="str">
        <f t="shared" si="61"/>
        <v>Центр надання адміністративних послуг Рогатинської міської ради</v>
      </c>
      <c r="G437" s="1" t="str">
        <f t="shared" si="59"/>
        <v>Фізична особа</v>
      </c>
      <c r="H437" s="1" t="s">
        <v>20</v>
      </c>
      <c r="I437" s="1" t="s">
        <v>20</v>
      </c>
      <c r="J437" s="1" t="str">
        <f t="shared" si="62"/>
        <v>Закрито</v>
      </c>
      <c r="K437" s="5">
        <v>45600</v>
      </c>
      <c r="L437" s="1" t="s">
        <v>20</v>
      </c>
      <c r="M437" s="1" t="s">
        <v>22</v>
      </c>
      <c r="N437" s="5">
        <v>45600</v>
      </c>
    </row>
    <row r="438" spans="1:14" x14ac:dyDescent="0.3">
      <c r="A438" s="1" t="str">
        <f>"16_642-11/2024/К"</f>
        <v>16_642-11/2024/К</v>
      </c>
      <c r="B438" s="6">
        <v>45600</v>
      </c>
      <c r="C438" s="1" t="str">
        <f>"00064"</f>
        <v>00064</v>
      </c>
      <c r="D438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438" s="1" t="s">
        <v>20</v>
      </c>
      <c r="F438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438" s="1" t="str">
        <f t="shared" si="59"/>
        <v>Фізична особа</v>
      </c>
      <c r="H438" s="1" t="s">
        <v>20</v>
      </c>
      <c r="I438" s="1" t="s">
        <v>20</v>
      </c>
      <c r="J438" s="1" t="str">
        <f>"Зареєстрований"</f>
        <v>Зареєстрований</v>
      </c>
      <c r="K438" s="1" t="s">
        <v>20</v>
      </c>
      <c r="L438" s="1" t="s">
        <v>20</v>
      </c>
      <c r="M438" s="1" t="s">
        <v>22</v>
      </c>
      <c r="N438" s="1" t="s">
        <v>20</v>
      </c>
    </row>
    <row r="439" spans="1:14" x14ac:dyDescent="0.3">
      <c r="A439" s="1" t="str">
        <f>"21_634-11/2024/Б"</f>
        <v>21_634-11/2024/Б</v>
      </c>
      <c r="B439" s="6">
        <v>45600</v>
      </c>
      <c r="C439" s="1" t="str">
        <f>"33"</f>
        <v>33</v>
      </c>
      <c r="D439" s="2" t="str">
        <f>"33 Довідки різного характеру"</f>
        <v>33 Довідки різного характеру</v>
      </c>
      <c r="E439" s="1" t="s">
        <v>20</v>
      </c>
      <c r="F439" s="1" t="str">
        <f t="shared" ref="F439:F445" si="63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39" s="1" t="str">
        <f t="shared" si="59"/>
        <v>Фізична особа</v>
      </c>
      <c r="H439" s="1" t="s">
        <v>20</v>
      </c>
      <c r="I439" s="1" t="s">
        <v>20</v>
      </c>
      <c r="J439" s="1" t="str">
        <f t="shared" ref="J439:J453" si="64">"Закрито"</f>
        <v>Закрито</v>
      </c>
      <c r="K439" s="5">
        <v>45600</v>
      </c>
      <c r="L439" s="1" t="s">
        <v>20</v>
      </c>
      <c r="M439" s="1" t="s">
        <v>22</v>
      </c>
      <c r="N439" s="5">
        <v>45600</v>
      </c>
    </row>
    <row r="440" spans="1:14" x14ac:dyDescent="0.3">
      <c r="A440" s="1" t="str">
        <f>"18_601-11/2024/Я"</f>
        <v>18_601-11/2024/Я</v>
      </c>
      <c r="B440" s="6">
        <v>45600</v>
      </c>
      <c r="C440" s="1" t="str">
        <f>"33"</f>
        <v>33</v>
      </c>
      <c r="D440" s="2" t="str">
        <f>"33 Довідки різного характеру"</f>
        <v>33 Довідки різного характеру</v>
      </c>
      <c r="E440" s="1" t="s">
        <v>20</v>
      </c>
      <c r="F440" s="1" t="str">
        <f t="shared" si="63"/>
        <v>Центр надання адміністративних послуг Рогатинської міської ради</v>
      </c>
      <c r="G440" s="1" t="str">
        <f t="shared" si="59"/>
        <v>Фізична особа</v>
      </c>
      <c r="H440" s="1" t="s">
        <v>20</v>
      </c>
      <c r="I440" s="1" t="s">
        <v>20</v>
      </c>
      <c r="J440" s="1" t="str">
        <f t="shared" si="64"/>
        <v>Закрито</v>
      </c>
      <c r="K440" s="5">
        <v>45600</v>
      </c>
      <c r="L440" s="1" t="s">
        <v>20</v>
      </c>
      <c r="M440" s="1" t="s">
        <v>22</v>
      </c>
      <c r="N440" s="5">
        <v>45600</v>
      </c>
    </row>
    <row r="441" spans="1:14" x14ac:dyDescent="0.3">
      <c r="A441" s="1" t="str">
        <f>"12_802-11/2024/К"</f>
        <v>12_802-11/2024/К</v>
      </c>
      <c r="B441" s="6">
        <v>45600</v>
      </c>
      <c r="C441" s="1" t="str">
        <f>"01841"</f>
        <v>01841</v>
      </c>
      <c r="D441" s="2" t="str">
        <f>"Видача довідки про реєстрацію та проживання особи станом на 15.04.1991 року"</f>
        <v>Видача довідки про реєстрацію та проживання особи станом на 15.04.1991 року</v>
      </c>
      <c r="E441" s="1" t="s">
        <v>20</v>
      </c>
      <c r="F441" s="1" t="str">
        <f t="shared" si="63"/>
        <v>Центр надання адміністративних послуг Рогатинської міської ради</v>
      </c>
      <c r="G441" s="1" t="str">
        <f t="shared" si="59"/>
        <v>Фізична особа</v>
      </c>
      <c r="H441" s="1" t="s">
        <v>20</v>
      </c>
      <c r="I441" s="1" t="s">
        <v>20</v>
      </c>
      <c r="J441" s="1" t="str">
        <f t="shared" si="64"/>
        <v>Закрито</v>
      </c>
      <c r="K441" s="5">
        <v>45600</v>
      </c>
      <c r="L441" s="1" t="s">
        <v>20</v>
      </c>
      <c r="M441" s="1" t="s">
        <v>22</v>
      </c>
      <c r="N441" s="5">
        <v>45600</v>
      </c>
    </row>
    <row r="442" spans="1:14" x14ac:dyDescent="0.3">
      <c r="A442" s="1" t="str">
        <f>"8_516-11/2024/К"</f>
        <v>8_516-11/2024/К</v>
      </c>
      <c r="B442" s="6">
        <v>45600</v>
      </c>
      <c r="C442" s="1" t="str">
        <f>"00038"</f>
        <v>00038</v>
      </c>
      <c r="D44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42" s="1" t="s">
        <v>20</v>
      </c>
      <c r="F442" s="1" t="str">
        <f t="shared" si="63"/>
        <v>Центр надання адміністративних послуг Рогатинської міської ради</v>
      </c>
      <c r="G442" s="1" t="str">
        <f t="shared" si="59"/>
        <v>Фізична особа</v>
      </c>
      <c r="H442" s="1" t="s">
        <v>20</v>
      </c>
      <c r="I442" s="1" t="s">
        <v>20</v>
      </c>
      <c r="J442" s="1" t="str">
        <f t="shared" si="64"/>
        <v>Закрито</v>
      </c>
      <c r="K442" s="5">
        <v>45600</v>
      </c>
      <c r="L442" s="1" t="s">
        <v>20</v>
      </c>
      <c r="M442" s="1" t="s">
        <v>22</v>
      </c>
      <c r="N442" s="5">
        <v>45600</v>
      </c>
    </row>
    <row r="443" spans="1:14" x14ac:dyDescent="0.3">
      <c r="A443" s="1" t="str">
        <f>"12_803-11/2024/К"</f>
        <v>12_803-11/2024/К</v>
      </c>
      <c r="B443" s="6">
        <v>45600</v>
      </c>
      <c r="C443" s="1" t="str">
        <f>"33"</f>
        <v>33</v>
      </c>
      <c r="D443" s="2" t="str">
        <f>"33 Довідки різного характеру"</f>
        <v>33 Довідки різного характеру</v>
      </c>
      <c r="E443" s="1" t="s">
        <v>20</v>
      </c>
      <c r="F443" s="1" t="str">
        <f t="shared" si="63"/>
        <v>Центр надання адміністративних послуг Рогатинської міської ради</v>
      </c>
      <c r="G443" s="1" t="str">
        <f t="shared" si="59"/>
        <v>Фізична особа</v>
      </c>
      <c r="H443" s="1" t="s">
        <v>20</v>
      </c>
      <c r="I443" s="1" t="s">
        <v>20</v>
      </c>
      <c r="J443" s="1" t="str">
        <f t="shared" si="64"/>
        <v>Закрито</v>
      </c>
      <c r="K443" s="5">
        <v>45600</v>
      </c>
      <c r="L443" s="1" t="s">
        <v>20</v>
      </c>
      <c r="M443" s="1" t="s">
        <v>22</v>
      </c>
      <c r="N443" s="5">
        <v>45600</v>
      </c>
    </row>
    <row r="444" spans="1:14" x14ac:dyDescent="0.3">
      <c r="A444" s="1" t="str">
        <f>"18_602-11/2024/Я"</f>
        <v>18_602-11/2024/Я</v>
      </c>
      <c r="B444" s="6">
        <v>45600</v>
      </c>
      <c r="C444" s="1" t="str">
        <f>"33"</f>
        <v>33</v>
      </c>
      <c r="D444" s="2" t="str">
        <f>"33 Довідки різного характеру"</f>
        <v>33 Довідки різного характеру</v>
      </c>
      <c r="E444" s="1" t="s">
        <v>20</v>
      </c>
      <c r="F444" s="1" t="str">
        <f t="shared" si="63"/>
        <v>Центр надання адміністративних послуг Рогатинської міської ради</v>
      </c>
      <c r="G444" s="1" t="str">
        <f t="shared" si="59"/>
        <v>Фізична особа</v>
      </c>
      <c r="H444" s="1" t="s">
        <v>20</v>
      </c>
      <c r="I444" s="1" t="s">
        <v>20</v>
      </c>
      <c r="J444" s="1" t="str">
        <f t="shared" si="64"/>
        <v>Закрито</v>
      </c>
      <c r="K444" s="5">
        <v>45600</v>
      </c>
      <c r="L444" s="1" t="s">
        <v>20</v>
      </c>
      <c r="M444" s="1" t="s">
        <v>22</v>
      </c>
      <c r="N444" s="5">
        <v>45600</v>
      </c>
    </row>
    <row r="445" spans="1:14" x14ac:dyDescent="0.3">
      <c r="A445" s="1" t="str">
        <f>"9_549-11/2024/С"</f>
        <v>9_549-11/2024/С</v>
      </c>
      <c r="B445" s="6">
        <v>45600</v>
      </c>
      <c r="C445" s="1" t="str">
        <f>"33"</f>
        <v>33</v>
      </c>
      <c r="D445" s="2" t="str">
        <f>"33 Довідки різного характеру"</f>
        <v>33 Довідки різного характеру</v>
      </c>
      <c r="E445" s="1" t="s">
        <v>20</v>
      </c>
      <c r="F445" s="1" t="str">
        <f t="shared" si="63"/>
        <v>Центр надання адміністративних послуг Рогатинської міської ради</v>
      </c>
      <c r="G445" s="1" t="str">
        <f t="shared" si="59"/>
        <v>Фізична особа</v>
      </c>
      <c r="H445" s="1" t="s">
        <v>20</v>
      </c>
      <c r="I445" s="1" t="s">
        <v>20</v>
      </c>
      <c r="J445" s="1" t="str">
        <f t="shared" si="64"/>
        <v>Закрито</v>
      </c>
      <c r="K445" s="5">
        <v>45600</v>
      </c>
      <c r="L445" s="1" t="s">
        <v>20</v>
      </c>
      <c r="M445" s="1" t="s">
        <v>22</v>
      </c>
      <c r="N445" s="5">
        <v>45600</v>
      </c>
    </row>
    <row r="446" spans="1:14" x14ac:dyDescent="0.3">
      <c r="A446" s="1" t="str">
        <f>"12_804-11/2024/К"</f>
        <v>12_804-11/2024/К</v>
      </c>
      <c r="B446" s="6">
        <v>45600</v>
      </c>
      <c r="C446" s="1" t="str">
        <f>"00133"</f>
        <v>00133</v>
      </c>
      <c r="D446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446" s="1" t="str">
        <f>"03193413"</f>
        <v>03193413</v>
      </c>
      <c r="F44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446" s="1" t="str">
        <f t="shared" si="59"/>
        <v>Фізична особа</v>
      </c>
      <c r="H446" s="1" t="s">
        <v>20</v>
      </c>
      <c r="I446" s="1" t="s">
        <v>20</v>
      </c>
      <c r="J446" s="1" t="str">
        <f t="shared" si="64"/>
        <v>Закрито</v>
      </c>
      <c r="K446" s="1" t="s">
        <v>20</v>
      </c>
      <c r="L446" s="1" t="s">
        <v>20</v>
      </c>
      <c r="M446" s="1" t="s">
        <v>22</v>
      </c>
      <c r="N446" s="1" t="s">
        <v>20</v>
      </c>
    </row>
    <row r="447" spans="1:14" x14ac:dyDescent="0.3">
      <c r="A447" s="1" t="str">
        <f>"1_5639/2129-11/2024/Б"</f>
        <v>1_5639/2129-11/2024/Б</v>
      </c>
      <c r="B447" s="6">
        <v>45600</v>
      </c>
      <c r="C447" s="1" t="str">
        <f>"00038"</f>
        <v>00038</v>
      </c>
      <c r="D44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47" s="1" t="s">
        <v>20</v>
      </c>
      <c r="F44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47" s="1" t="str">
        <f t="shared" si="59"/>
        <v>Фізична особа</v>
      </c>
      <c r="H447" s="1" t="s">
        <v>20</v>
      </c>
      <c r="I447" s="1" t="s">
        <v>20</v>
      </c>
      <c r="J447" s="1" t="str">
        <f t="shared" si="64"/>
        <v>Закрито</v>
      </c>
      <c r="K447" s="6">
        <v>45600</v>
      </c>
      <c r="L447" s="1" t="s">
        <v>20</v>
      </c>
      <c r="M447" s="1" t="s">
        <v>22</v>
      </c>
      <c r="N447" s="5">
        <v>45600</v>
      </c>
    </row>
    <row r="448" spans="1:14" x14ac:dyDescent="0.3">
      <c r="A448" s="1" t="str">
        <f>"3_820-11/2024/Л"</f>
        <v>3_820-11/2024/Л</v>
      </c>
      <c r="B448" s="6">
        <v>45600</v>
      </c>
      <c r="C448" s="1" t="str">
        <f>"00133"</f>
        <v>00133</v>
      </c>
      <c r="D448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448" s="1" t="str">
        <f>"03193413"</f>
        <v>03193413</v>
      </c>
      <c r="F44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448" s="1" t="str">
        <f t="shared" si="59"/>
        <v>Фізична особа</v>
      </c>
      <c r="H448" s="1" t="s">
        <v>20</v>
      </c>
      <c r="I448" s="1" t="s">
        <v>20</v>
      </c>
      <c r="J448" s="1" t="str">
        <f t="shared" si="64"/>
        <v>Закрито</v>
      </c>
      <c r="K448" s="5">
        <v>45611</v>
      </c>
      <c r="L448" s="1" t="s">
        <v>20</v>
      </c>
      <c r="M448" s="1" t="s">
        <v>22</v>
      </c>
      <c r="N448" s="5">
        <v>45611</v>
      </c>
    </row>
    <row r="449" spans="1:14" x14ac:dyDescent="0.3">
      <c r="A449" s="1" t="str">
        <f>"20_155-11/2024/С"</f>
        <v>20_155-11/2024/С</v>
      </c>
      <c r="B449" s="6">
        <v>45600</v>
      </c>
      <c r="C449" s="1" t="str">
        <f>"00038"</f>
        <v>00038</v>
      </c>
      <c r="D44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49" s="1" t="s">
        <v>20</v>
      </c>
      <c r="F44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49" s="1" t="str">
        <f t="shared" si="59"/>
        <v>Фізична особа</v>
      </c>
      <c r="H449" s="1" t="s">
        <v>20</v>
      </c>
      <c r="I449" s="1" t="s">
        <v>20</v>
      </c>
      <c r="J449" s="1" t="str">
        <f t="shared" si="64"/>
        <v>Закрито</v>
      </c>
      <c r="K449" s="5">
        <v>45600</v>
      </c>
      <c r="L449" s="1" t="s">
        <v>20</v>
      </c>
      <c r="M449" s="1" t="s">
        <v>22</v>
      </c>
      <c r="N449" s="5">
        <v>45600</v>
      </c>
    </row>
    <row r="450" spans="1:14" x14ac:dyDescent="0.3">
      <c r="A450" s="1" t="str">
        <f>"1_5640/2129-11/2024/Б"</f>
        <v>1_5640/2129-11/2024/Б</v>
      </c>
      <c r="B450" s="6">
        <v>45600</v>
      </c>
      <c r="C450" s="1" t="str">
        <f>"00038"</f>
        <v>00038</v>
      </c>
      <c r="D45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50" s="1" t="s">
        <v>20</v>
      </c>
      <c r="F45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50" s="1" t="str">
        <f t="shared" si="59"/>
        <v>Фізична особа</v>
      </c>
      <c r="H450" s="1" t="s">
        <v>20</v>
      </c>
      <c r="I450" s="1" t="s">
        <v>20</v>
      </c>
      <c r="J450" s="1" t="str">
        <f t="shared" si="64"/>
        <v>Закрито</v>
      </c>
      <c r="K450" s="6">
        <v>45600</v>
      </c>
      <c r="L450" s="1" t="s">
        <v>20</v>
      </c>
      <c r="M450" s="1" t="s">
        <v>22</v>
      </c>
      <c r="N450" s="5">
        <v>45600</v>
      </c>
    </row>
    <row r="451" spans="1:14" x14ac:dyDescent="0.3">
      <c r="A451" s="1" t="str">
        <f>"15_323-11/2024/К"</f>
        <v>15_323-11/2024/К</v>
      </c>
      <c r="B451" s="6">
        <v>45600</v>
      </c>
      <c r="C451" s="1" t="str">
        <f>"00155"</f>
        <v>00155</v>
      </c>
      <c r="D451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451" s="1" t="str">
        <f>"03193413"</f>
        <v>03193413</v>
      </c>
      <c r="F45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451" s="1" t="str">
        <f t="shared" si="59"/>
        <v>Фізична особа</v>
      </c>
      <c r="H451" s="1" t="s">
        <v>20</v>
      </c>
      <c r="I451" s="1" t="s">
        <v>20</v>
      </c>
      <c r="J451" s="1" t="str">
        <f t="shared" si="64"/>
        <v>Закрито</v>
      </c>
      <c r="K451" s="1" t="s">
        <v>20</v>
      </c>
      <c r="L451" s="1" t="s">
        <v>20</v>
      </c>
      <c r="M451" s="1" t="s">
        <v>22</v>
      </c>
      <c r="N451" s="1" t="s">
        <v>20</v>
      </c>
    </row>
    <row r="452" spans="1:14" x14ac:dyDescent="0.3">
      <c r="A452" s="1" t="str">
        <f>"20_156-11/2024/С"</f>
        <v>20_156-11/2024/С</v>
      </c>
      <c r="B452" s="6">
        <v>45600</v>
      </c>
      <c r="C452" s="1" t="str">
        <f>"00038"</f>
        <v>00038</v>
      </c>
      <c r="D45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52" s="1" t="s">
        <v>20</v>
      </c>
      <c r="F4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52" s="1" t="str">
        <f t="shared" ref="G452:G478" si="65">"Фізична особа"</f>
        <v>Фізична особа</v>
      </c>
      <c r="H452" s="1" t="s">
        <v>20</v>
      </c>
      <c r="I452" s="1" t="s">
        <v>20</v>
      </c>
      <c r="J452" s="1" t="str">
        <f t="shared" si="64"/>
        <v>Закрито</v>
      </c>
      <c r="K452" s="5">
        <v>45600</v>
      </c>
      <c r="L452" s="1" t="s">
        <v>20</v>
      </c>
      <c r="M452" s="1" t="s">
        <v>22</v>
      </c>
      <c r="N452" s="5">
        <v>45600</v>
      </c>
    </row>
    <row r="453" spans="1:14" x14ac:dyDescent="0.3">
      <c r="A453" s="1" t="str">
        <f>"12_805-11/2024/Р"</f>
        <v>12_805-11/2024/Р</v>
      </c>
      <c r="B453" s="6">
        <v>45600</v>
      </c>
      <c r="C453" s="1" t="str">
        <f>"00038"</f>
        <v>00038</v>
      </c>
      <c r="D45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53" s="1" t="s">
        <v>20</v>
      </c>
      <c r="F4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53" s="1" t="str">
        <f t="shared" si="65"/>
        <v>Фізична особа</v>
      </c>
      <c r="H453" s="1" t="s">
        <v>20</v>
      </c>
      <c r="I453" s="1" t="s">
        <v>20</v>
      </c>
      <c r="J453" s="1" t="str">
        <f t="shared" si="64"/>
        <v>Закрито</v>
      </c>
      <c r="K453" s="5">
        <v>45600</v>
      </c>
      <c r="L453" s="1" t="s">
        <v>20</v>
      </c>
      <c r="M453" s="1" t="s">
        <v>22</v>
      </c>
      <c r="N453" s="5">
        <v>45600</v>
      </c>
    </row>
    <row r="454" spans="1:14" x14ac:dyDescent="0.3">
      <c r="A454" s="1" t="str">
        <f>"18_603-11/2024/О"</f>
        <v>18_603-11/2024/О</v>
      </c>
      <c r="B454" s="6">
        <v>45600</v>
      </c>
      <c r="C454" s="1" t="str">
        <f>"00155"</f>
        <v>00155</v>
      </c>
      <c r="D454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454" s="1" t="str">
        <f>"03193413"</f>
        <v>03193413</v>
      </c>
      <c r="F45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454" s="1" t="str">
        <f t="shared" si="65"/>
        <v>Фізична особа</v>
      </c>
      <c r="H454" s="1" t="s">
        <v>20</v>
      </c>
      <c r="I454" s="1" t="s">
        <v>20</v>
      </c>
      <c r="J454" s="1" t="str">
        <f>"На обробці в СНАП"</f>
        <v>На обробці в СНАП</v>
      </c>
      <c r="K454" s="1" t="s">
        <v>20</v>
      </c>
      <c r="L454" s="1" t="s">
        <v>20</v>
      </c>
      <c r="M454" s="1" t="s">
        <v>22</v>
      </c>
      <c r="N454" s="1" t="s">
        <v>20</v>
      </c>
    </row>
    <row r="455" spans="1:14" x14ac:dyDescent="0.3">
      <c r="A455" s="1" t="str">
        <f>"18_604-11/2024/О"</f>
        <v>18_604-11/2024/О</v>
      </c>
      <c r="B455" s="6">
        <v>45600</v>
      </c>
      <c r="C455" s="1" t="str">
        <f>"33"</f>
        <v>33</v>
      </c>
      <c r="D455" s="2" t="str">
        <f>"33 Довідки різного характеру"</f>
        <v>33 Довідки різного характеру</v>
      </c>
      <c r="E455" s="1" t="s">
        <v>20</v>
      </c>
      <c r="F45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55" s="1" t="str">
        <f t="shared" si="65"/>
        <v>Фізична особа</v>
      </c>
      <c r="H455" s="1" t="s">
        <v>20</v>
      </c>
      <c r="I455" s="1" t="s">
        <v>20</v>
      </c>
      <c r="J455" s="1" t="str">
        <f t="shared" ref="J455:J471" si="66">"Закрито"</f>
        <v>Закрито</v>
      </c>
      <c r="K455" s="5">
        <v>45600</v>
      </c>
      <c r="L455" s="1" t="s">
        <v>20</v>
      </c>
      <c r="M455" s="1" t="s">
        <v>22</v>
      </c>
      <c r="N455" s="5">
        <v>45600</v>
      </c>
    </row>
    <row r="456" spans="1:14" x14ac:dyDescent="0.3">
      <c r="A456" s="1" t="str">
        <f>"12_806-11/2024/Р"</f>
        <v>12_806-11/2024/Р</v>
      </c>
      <c r="B456" s="6">
        <v>45600</v>
      </c>
      <c r="C456" s="1" t="str">
        <f>"00038"</f>
        <v>00038</v>
      </c>
      <c r="D45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56" s="1" t="s">
        <v>20</v>
      </c>
      <c r="F45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56" s="1" t="str">
        <f t="shared" si="65"/>
        <v>Фізична особа</v>
      </c>
      <c r="H456" s="1" t="s">
        <v>20</v>
      </c>
      <c r="I456" s="1" t="s">
        <v>20</v>
      </c>
      <c r="J456" s="1" t="str">
        <f t="shared" si="66"/>
        <v>Закрито</v>
      </c>
      <c r="K456" s="5">
        <v>45600</v>
      </c>
      <c r="L456" s="1" t="s">
        <v>20</v>
      </c>
      <c r="M456" s="1" t="s">
        <v>22</v>
      </c>
      <c r="N456" s="5">
        <v>45600</v>
      </c>
    </row>
    <row r="457" spans="1:14" x14ac:dyDescent="0.3">
      <c r="A457" s="1" t="str">
        <f>"18_605-11/2024/О"</f>
        <v>18_605-11/2024/О</v>
      </c>
      <c r="B457" s="6">
        <v>45600</v>
      </c>
      <c r="C457" s="1" t="str">
        <f>"00038"</f>
        <v>00038</v>
      </c>
      <c r="D45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57" s="1" t="s">
        <v>20</v>
      </c>
      <c r="F4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57" s="1" t="str">
        <f t="shared" si="65"/>
        <v>Фізична особа</v>
      </c>
      <c r="H457" s="1" t="s">
        <v>20</v>
      </c>
      <c r="I457" s="1" t="s">
        <v>20</v>
      </c>
      <c r="J457" s="1" t="str">
        <f t="shared" si="66"/>
        <v>Закрито</v>
      </c>
      <c r="K457" s="5">
        <v>45600</v>
      </c>
      <c r="L457" s="1" t="s">
        <v>20</v>
      </c>
      <c r="M457" s="1" t="s">
        <v>22</v>
      </c>
      <c r="N457" s="5">
        <v>45600</v>
      </c>
    </row>
    <row r="458" spans="1:14" x14ac:dyDescent="0.3">
      <c r="A458" s="1" t="str">
        <f>"12_807-11/2024/М"</f>
        <v>12_807-11/2024/М</v>
      </c>
      <c r="B458" s="6">
        <v>45600</v>
      </c>
      <c r="C458" s="1" t="str">
        <f>"00155"</f>
        <v>00155</v>
      </c>
      <c r="D458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458" s="1" t="str">
        <f>"03193413"</f>
        <v>03193413</v>
      </c>
      <c r="F45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458" s="1" t="str">
        <f t="shared" si="65"/>
        <v>Фізична особа</v>
      </c>
      <c r="H458" s="1" t="s">
        <v>20</v>
      </c>
      <c r="I458" s="1" t="s">
        <v>20</v>
      </c>
      <c r="J458" s="1" t="str">
        <f t="shared" si="66"/>
        <v>Закрито</v>
      </c>
      <c r="K458" s="1" t="s">
        <v>20</v>
      </c>
      <c r="L458" s="1" t="s">
        <v>20</v>
      </c>
      <c r="M458" s="1" t="s">
        <v>22</v>
      </c>
      <c r="N458" s="1" t="s">
        <v>20</v>
      </c>
    </row>
    <row r="459" spans="1:14" x14ac:dyDescent="0.3">
      <c r="A459" s="1" t="str">
        <f>"18_606-11/2024/К"</f>
        <v>18_606-11/2024/К</v>
      </c>
      <c r="B459" s="6">
        <v>45600</v>
      </c>
      <c r="C459" s="1" t="str">
        <f>"00038"</f>
        <v>00038</v>
      </c>
      <c r="D45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59" s="1" t="s">
        <v>20</v>
      </c>
      <c r="F4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59" s="1" t="str">
        <f t="shared" si="65"/>
        <v>Фізична особа</v>
      </c>
      <c r="H459" s="1" t="s">
        <v>20</v>
      </c>
      <c r="I459" s="1" t="s">
        <v>20</v>
      </c>
      <c r="J459" s="1" t="str">
        <f t="shared" si="66"/>
        <v>Закрито</v>
      </c>
      <c r="K459" s="5">
        <v>45600</v>
      </c>
      <c r="L459" s="1" t="s">
        <v>20</v>
      </c>
      <c r="M459" s="1" t="s">
        <v>22</v>
      </c>
      <c r="N459" s="5">
        <v>45600</v>
      </c>
    </row>
    <row r="460" spans="1:14" x14ac:dyDescent="0.3">
      <c r="A460" s="1" t="str">
        <f>"12_808-11/2024/Р"</f>
        <v>12_808-11/2024/Р</v>
      </c>
      <c r="B460" s="6">
        <v>45600</v>
      </c>
      <c r="C460" s="1" t="str">
        <f>"01974"</f>
        <v>01974</v>
      </c>
      <c r="D460" s="2" t="str">
        <f>"Призначення пільги на оплату житла, комунальних послуг"</f>
        <v>Призначення пільги на оплату житла, комунальних послуг</v>
      </c>
      <c r="E460" s="1" t="str">
        <f>"03193413"</f>
        <v>03193413</v>
      </c>
      <c r="F46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460" s="1" t="str">
        <f t="shared" si="65"/>
        <v>Фізична особа</v>
      </c>
      <c r="H460" s="1" t="s">
        <v>20</v>
      </c>
      <c r="I460" s="1" t="s">
        <v>20</v>
      </c>
      <c r="J460" s="1" t="str">
        <f t="shared" si="66"/>
        <v>Закрито</v>
      </c>
      <c r="K460" s="5">
        <v>45653</v>
      </c>
      <c r="L460" s="1" t="s">
        <v>20</v>
      </c>
      <c r="M460" s="1" t="s">
        <v>22</v>
      </c>
      <c r="N460" s="5">
        <v>45653</v>
      </c>
    </row>
    <row r="461" spans="1:14" x14ac:dyDescent="0.3">
      <c r="A461" s="1" t="str">
        <f>"12_809-11/2024/Р"</f>
        <v>12_809-11/2024/Р</v>
      </c>
      <c r="B461" s="6">
        <v>45600</v>
      </c>
      <c r="C461" s="1" t="str">
        <f t="shared" ref="C461:C466" si="67">"00038"</f>
        <v>00038</v>
      </c>
      <c r="D461" s="2" t="str">
        <f t="shared" ref="D461:D466" si="68"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61" s="1" t="s">
        <v>20</v>
      </c>
      <c r="F461" s="1" t="str">
        <f t="shared" ref="F461:F466" si="69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61" s="1" t="str">
        <f t="shared" si="65"/>
        <v>Фізична особа</v>
      </c>
      <c r="H461" s="1" t="s">
        <v>20</v>
      </c>
      <c r="I461" s="1" t="s">
        <v>20</v>
      </c>
      <c r="J461" s="1" t="str">
        <f t="shared" si="66"/>
        <v>Закрито</v>
      </c>
      <c r="K461" s="5">
        <v>45600</v>
      </c>
      <c r="L461" s="1" t="s">
        <v>20</v>
      </c>
      <c r="M461" s="1" t="s">
        <v>22</v>
      </c>
      <c r="N461" s="5">
        <v>45600</v>
      </c>
    </row>
    <row r="462" spans="1:14" x14ac:dyDescent="0.3">
      <c r="A462" s="1" t="str">
        <f>"18_607-11/2024/К"</f>
        <v>18_607-11/2024/К</v>
      </c>
      <c r="B462" s="6">
        <v>45600</v>
      </c>
      <c r="C462" s="1" t="str">
        <f t="shared" si="67"/>
        <v>00038</v>
      </c>
      <c r="D462" s="2" t="str">
        <f t="shared" si="68"/>
        <v>Видача довідки про реєстрацію місця проживання або місця перебування особи</v>
      </c>
      <c r="E462" s="1" t="s">
        <v>20</v>
      </c>
      <c r="F462" s="1" t="str">
        <f t="shared" si="69"/>
        <v>Центр надання адміністративних послуг Рогатинської міської ради</v>
      </c>
      <c r="G462" s="1" t="str">
        <f t="shared" si="65"/>
        <v>Фізична особа</v>
      </c>
      <c r="H462" s="1" t="s">
        <v>20</v>
      </c>
      <c r="I462" s="1" t="s">
        <v>20</v>
      </c>
      <c r="J462" s="1" t="str">
        <f t="shared" si="66"/>
        <v>Закрито</v>
      </c>
      <c r="K462" s="5">
        <v>45600</v>
      </c>
      <c r="L462" s="1" t="s">
        <v>20</v>
      </c>
      <c r="M462" s="1" t="s">
        <v>22</v>
      </c>
      <c r="N462" s="5">
        <v>45600</v>
      </c>
    </row>
    <row r="463" spans="1:14" x14ac:dyDescent="0.3">
      <c r="A463" s="1" t="str">
        <f>"18_608-11/2024/К"</f>
        <v>18_608-11/2024/К</v>
      </c>
      <c r="B463" s="6">
        <v>45600</v>
      </c>
      <c r="C463" s="1" t="str">
        <f t="shared" si="67"/>
        <v>00038</v>
      </c>
      <c r="D463" s="2" t="str">
        <f t="shared" si="68"/>
        <v>Видача довідки про реєстрацію місця проживання або місця перебування особи</v>
      </c>
      <c r="E463" s="1" t="s">
        <v>20</v>
      </c>
      <c r="F463" s="1" t="str">
        <f t="shared" si="69"/>
        <v>Центр надання адміністративних послуг Рогатинської міської ради</v>
      </c>
      <c r="G463" s="1" t="str">
        <f t="shared" si="65"/>
        <v>Фізична особа</v>
      </c>
      <c r="H463" s="1" t="s">
        <v>20</v>
      </c>
      <c r="I463" s="1" t="s">
        <v>20</v>
      </c>
      <c r="J463" s="1" t="str">
        <f t="shared" si="66"/>
        <v>Закрито</v>
      </c>
      <c r="K463" s="5">
        <v>45600</v>
      </c>
      <c r="L463" s="1" t="s">
        <v>20</v>
      </c>
      <c r="M463" s="1" t="s">
        <v>22</v>
      </c>
      <c r="N463" s="5">
        <v>45600</v>
      </c>
    </row>
    <row r="464" spans="1:14" x14ac:dyDescent="0.3">
      <c r="A464" s="1" t="str">
        <f>"18_609-11/2024/О"</f>
        <v>18_609-11/2024/О</v>
      </c>
      <c r="B464" s="6">
        <v>45600</v>
      </c>
      <c r="C464" s="1" t="str">
        <f t="shared" si="67"/>
        <v>00038</v>
      </c>
      <c r="D464" s="2" t="str">
        <f t="shared" si="68"/>
        <v>Видача довідки про реєстрацію місця проживання або місця перебування особи</v>
      </c>
      <c r="E464" s="1" t="s">
        <v>20</v>
      </c>
      <c r="F464" s="1" t="str">
        <f t="shared" si="69"/>
        <v>Центр надання адміністративних послуг Рогатинської міської ради</v>
      </c>
      <c r="G464" s="1" t="str">
        <f t="shared" si="65"/>
        <v>Фізична особа</v>
      </c>
      <c r="H464" s="1" t="s">
        <v>20</v>
      </c>
      <c r="I464" s="1" t="s">
        <v>20</v>
      </c>
      <c r="J464" s="1" t="str">
        <f t="shared" si="66"/>
        <v>Закрито</v>
      </c>
      <c r="K464" s="5">
        <v>45600</v>
      </c>
      <c r="L464" s="1" t="s">
        <v>20</v>
      </c>
      <c r="M464" s="1" t="s">
        <v>22</v>
      </c>
      <c r="N464" s="5">
        <v>45600</v>
      </c>
    </row>
    <row r="465" spans="1:14" x14ac:dyDescent="0.3">
      <c r="A465" s="1" t="str">
        <f>"18_610-11/2024/К"</f>
        <v>18_610-11/2024/К</v>
      </c>
      <c r="B465" s="6">
        <v>45600</v>
      </c>
      <c r="C465" s="1" t="str">
        <f t="shared" si="67"/>
        <v>00038</v>
      </c>
      <c r="D465" s="2" t="str">
        <f t="shared" si="68"/>
        <v>Видача довідки про реєстрацію місця проживання або місця перебування особи</v>
      </c>
      <c r="E465" s="1" t="s">
        <v>20</v>
      </c>
      <c r="F465" s="1" t="str">
        <f t="shared" si="69"/>
        <v>Центр надання адміністративних послуг Рогатинської міської ради</v>
      </c>
      <c r="G465" s="1" t="str">
        <f t="shared" si="65"/>
        <v>Фізична особа</v>
      </c>
      <c r="H465" s="1" t="s">
        <v>20</v>
      </c>
      <c r="I465" s="1" t="s">
        <v>20</v>
      </c>
      <c r="J465" s="1" t="str">
        <f t="shared" si="66"/>
        <v>Закрито</v>
      </c>
      <c r="K465" s="5">
        <v>45600</v>
      </c>
      <c r="L465" s="1" t="s">
        <v>20</v>
      </c>
      <c r="M465" s="1" t="s">
        <v>22</v>
      </c>
      <c r="N465" s="5">
        <v>45600</v>
      </c>
    </row>
    <row r="466" spans="1:14" x14ac:dyDescent="0.3">
      <c r="A466" s="1" t="str">
        <f>"12_810-11/2024/Р"</f>
        <v>12_810-11/2024/Р</v>
      </c>
      <c r="B466" s="6">
        <v>45600</v>
      </c>
      <c r="C466" s="1" t="str">
        <f t="shared" si="67"/>
        <v>00038</v>
      </c>
      <c r="D466" s="2" t="str">
        <f t="shared" si="68"/>
        <v>Видача довідки про реєстрацію місця проживання або місця перебування особи</v>
      </c>
      <c r="E466" s="1" t="s">
        <v>20</v>
      </c>
      <c r="F466" s="1" t="str">
        <f t="shared" si="69"/>
        <v>Центр надання адміністративних послуг Рогатинської міської ради</v>
      </c>
      <c r="G466" s="1" t="str">
        <f t="shared" si="65"/>
        <v>Фізична особа</v>
      </c>
      <c r="H466" s="1" t="s">
        <v>20</v>
      </c>
      <c r="I466" s="1" t="s">
        <v>20</v>
      </c>
      <c r="J466" s="1" t="str">
        <f t="shared" si="66"/>
        <v>Закрито</v>
      </c>
      <c r="K466" s="5">
        <v>45600</v>
      </c>
      <c r="L466" s="1" t="s">
        <v>20</v>
      </c>
      <c r="M466" s="1" t="s">
        <v>22</v>
      </c>
      <c r="N466" s="5">
        <v>45600</v>
      </c>
    </row>
    <row r="467" spans="1:14" x14ac:dyDescent="0.3">
      <c r="A467" s="1" t="str">
        <f>"12_811-11/2024/Р"</f>
        <v>12_811-11/2024/Р</v>
      </c>
      <c r="B467" s="6">
        <v>45600</v>
      </c>
      <c r="C467" s="1" t="str">
        <f>"00155"</f>
        <v>00155</v>
      </c>
      <c r="D467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467" s="1" t="str">
        <f>"03193413"</f>
        <v>03193413</v>
      </c>
      <c r="F46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467" s="1" t="str">
        <f t="shared" si="65"/>
        <v>Фізична особа</v>
      </c>
      <c r="H467" s="1" t="s">
        <v>20</v>
      </c>
      <c r="I467" s="1" t="s">
        <v>20</v>
      </c>
      <c r="J467" s="1" t="str">
        <f t="shared" si="66"/>
        <v>Закрито</v>
      </c>
      <c r="K467" s="5">
        <v>45632</v>
      </c>
      <c r="L467" s="1" t="s">
        <v>20</v>
      </c>
      <c r="M467" s="1" t="s">
        <v>22</v>
      </c>
      <c r="N467" s="5">
        <v>45642</v>
      </c>
    </row>
    <row r="468" spans="1:14" x14ac:dyDescent="0.3">
      <c r="A468" s="1" t="str">
        <f>"35_495-11/2024/Р"</f>
        <v>35_495-11/2024/Р</v>
      </c>
      <c r="B468" s="6">
        <v>45600</v>
      </c>
      <c r="C468" s="1" t="str">
        <f>"01495"</f>
        <v>01495</v>
      </c>
      <c r="D468" s="2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468" s="1" t="s">
        <v>20</v>
      </c>
      <c r="F46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68" s="1" t="str">
        <f t="shared" si="65"/>
        <v>Фізична особа</v>
      </c>
      <c r="H468" s="1" t="s">
        <v>20</v>
      </c>
      <c r="I468" s="1" t="s">
        <v>20</v>
      </c>
      <c r="J468" s="1" t="str">
        <f t="shared" si="66"/>
        <v>Закрито</v>
      </c>
      <c r="K468" s="5">
        <v>45600</v>
      </c>
      <c r="L468" s="1" t="s">
        <v>20</v>
      </c>
      <c r="M468" s="1" t="s">
        <v>22</v>
      </c>
      <c r="N468" s="5">
        <v>45600</v>
      </c>
    </row>
    <row r="469" spans="1:14" x14ac:dyDescent="0.3">
      <c r="A469" s="1" t="str">
        <f>"12_812-11/2024/Ш"</f>
        <v>12_812-11/2024/Ш</v>
      </c>
      <c r="B469" s="6">
        <v>45600</v>
      </c>
      <c r="C469" s="1" t="str">
        <f>"00038"</f>
        <v>00038</v>
      </c>
      <c r="D46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69" s="1" t="s">
        <v>20</v>
      </c>
      <c r="F46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69" s="1" t="str">
        <f t="shared" si="65"/>
        <v>Фізична особа</v>
      </c>
      <c r="H469" s="1" t="s">
        <v>20</v>
      </c>
      <c r="I469" s="1" t="s">
        <v>20</v>
      </c>
      <c r="J469" s="1" t="str">
        <f t="shared" si="66"/>
        <v>Закрито</v>
      </c>
      <c r="K469" s="5">
        <v>45600</v>
      </c>
      <c r="L469" s="1" t="s">
        <v>20</v>
      </c>
      <c r="M469" s="1" t="s">
        <v>22</v>
      </c>
      <c r="N469" s="5">
        <v>45600</v>
      </c>
    </row>
    <row r="470" spans="1:14" x14ac:dyDescent="0.3">
      <c r="A470" s="1" t="str">
        <f>"12_813-11/2024/Ш"</f>
        <v>12_813-11/2024/Ш</v>
      </c>
      <c r="B470" s="6">
        <v>45600</v>
      </c>
      <c r="C470" s="1" t="str">
        <f>"00133"</f>
        <v>00133</v>
      </c>
      <c r="D470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470" s="1" t="str">
        <f>"03193413"</f>
        <v>03193413</v>
      </c>
      <c r="F47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470" s="1" t="str">
        <f t="shared" si="65"/>
        <v>Фізична особа</v>
      </c>
      <c r="H470" s="1" t="s">
        <v>20</v>
      </c>
      <c r="I470" s="1" t="s">
        <v>20</v>
      </c>
      <c r="J470" s="1" t="str">
        <f t="shared" si="66"/>
        <v>Закрито</v>
      </c>
      <c r="K470" s="5">
        <v>45632</v>
      </c>
      <c r="L470" s="1" t="s">
        <v>20</v>
      </c>
      <c r="M470" s="1" t="s">
        <v>22</v>
      </c>
      <c r="N470" s="5">
        <v>45643</v>
      </c>
    </row>
    <row r="471" spans="1:14" x14ac:dyDescent="0.3">
      <c r="A471" s="1" t="str">
        <f>"1_674-11/2024/Д"</f>
        <v>1_674-11/2024/Д</v>
      </c>
      <c r="B471" s="6">
        <v>45600</v>
      </c>
      <c r="C471" s="1" t="str">
        <f>"33"</f>
        <v>33</v>
      </c>
      <c r="D471" s="2" t="str">
        <f>"33 Довідки різного характеру"</f>
        <v>33 Довідки різного характеру</v>
      </c>
      <c r="E471" s="1" t="s">
        <v>20</v>
      </c>
      <c r="F47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71" s="1" t="str">
        <f t="shared" si="65"/>
        <v>Фізична особа</v>
      </c>
      <c r="H471" s="1" t="s">
        <v>20</v>
      </c>
      <c r="I471" s="1" t="s">
        <v>20</v>
      </c>
      <c r="J471" s="1" t="str">
        <f t="shared" si="66"/>
        <v>Закрито</v>
      </c>
      <c r="K471" s="5">
        <v>45600</v>
      </c>
      <c r="L471" s="1" t="s">
        <v>20</v>
      </c>
      <c r="M471" s="1" t="s">
        <v>22</v>
      </c>
      <c r="N471" s="5">
        <v>45600</v>
      </c>
    </row>
    <row r="472" spans="1:14" x14ac:dyDescent="0.3">
      <c r="A472" s="1" t="str">
        <f>"4_903-11/2024/Л"</f>
        <v>4_903-11/2024/Л</v>
      </c>
      <c r="B472" s="6">
        <v>45600</v>
      </c>
      <c r="C472" s="1" t="str">
        <f>"00155"</f>
        <v>00155</v>
      </c>
      <c r="D472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472" s="1" t="str">
        <f>"03193413"</f>
        <v>03193413</v>
      </c>
      <c r="F47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472" s="1" t="str">
        <f t="shared" si="65"/>
        <v>Фізична особа</v>
      </c>
      <c r="H472" s="1" t="s">
        <v>20</v>
      </c>
      <c r="I472" s="1" t="s">
        <v>20</v>
      </c>
      <c r="J472" s="1" t="str">
        <f>"Заявника сповіщено про результат"</f>
        <v>Заявника сповіщено про результат</v>
      </c>
      <c r="K472" s="5">
        <v>45612</v>
      </c>
      <c r="L472" s="1" t="s">
        <v>20</v>
      </c>
      <c r="M472" s="1" t="s">
        <v>22</v>
      </c>
      <c r="N472" s="5">
        <v>45632</v>
      </c>
    </row>
    <row r="473" spans="1:14" x14ac:dyDescent="0.3">
      <c r="A473" s="1" t="str">
        <f>"4_904-11/2024/Л"</f>
        <v>4_904-11/2024/Л</v>
      </c>
      <c r="B473" s="6">
        <v>45600</v>
      </c>
      <c r="C473" s="1" t="str">
        <f>"33"</f>
        <v>33</v>
      </c>
      <c r="D473" s="2" t="str">
        <f>"33 Довідки різного характеру"</f>
        <v>33 Довідки різного характеру</v>
      </c>
      <c r="E473" s="1" t="s">
        <v>20</v>
      </c>
      <c r="F47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73" s="1" t="str">
        <f t="shared" si="65"/>
        <v>Фізична особа</v>
      </c>
      <c r="H473" s="1" t="s">
        <v>20</v>
      </c>
      <c r="I473" s="1" t="s">
        <v>20</v>
      </c>
      <c r="J473" s="1" t="str">
        <f>"Закрито"</f>
        <v>Закрито</v>
      </c>
      <c r="K473" s="5">
        <v>45600</v>
      </c>
      <c r="L473" s="1" t="s">
        <v>20</v>
      </c>
      <c r="M473" s="1" t="s">
        <v>22</v>
      </c>
      <c r="N473" s="5">
        <v>45600</v>
      </c>
    </row>
    <row r="474" spans="1:14" x14ac:dyDescent="0.3">
      <c r="A474" s="1" t="str">
        <f>"4_905-11/2024/Л"</f>
        <v>4_905-11/2024/Л</v>
      </c>
      <c r="B474" s="6">
        <v>45600</v>
      </c>
      <c r="C474" s="1" t="str">
        <f>"00038"</f>
        <v>00038</v>
      </c>
      <c r="D47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74" s="1" t="s">
        <v>20</v>
      </c>
      <c r="F47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74" s="1" t="str">
        <f t="shared" si="65"/>
        <v>Фізична особа</v>
      </c>
      <c r="H474" s="1" t="s">
        <v>20</v>
      </c>
      <c r="I474" s="1" t="s">
        <v>20</v>
      </c>
      <c r="J474" s="1" t="str">
        <f>"Закрито"</f>
        <v>Закрито</v>
      </c>
      <c r="K474" s="5">
        <v>45600</v>
      </c>
      <c r="L474" s="1" t="s">
        <v>20</v>
      </c>
      <c r="M474" s="1" t="s">
        <v>22</v>
      </c>
      <c r="N474" s="5">
        <v>45600</v>
      </c>
    </row>
    <row r="475" spans="1:14" x14ac:dyDescent="0.3">
      <c r="A475" s="1" t="str">
        <f>"4_906-11/2024/Л"</f>
        <v>4_906-11/2024/Л</v>
      </c>
      <c r="B475" s="6">
        <v>45600</v>
      </c>
      <c r="C475" s="1" t="str">
        <f>"00038"</f>
        <v>00038</v>
      </c>
      <c r="D47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75" s="1" t="s">
        <v>20</v>
      </c>
      <c r="F4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75" s="1" t="str">
        <f t="shared" si="65"/>
        <v>Фізична особа</v>
      </c>
      <c r="H475" s="1" t="s">
        <v>20</v>
      </c>
      <c r="I475" s="1" t="s">
        <v>20</v>
      </c>
      <c r="J475" s="1" t="str">
        <f>"Закрито"</f>
        <v>Закрито</v>
      </c>
      <c r="K475" s="5">
        <v>45600</v>
      </c>
      <c r="L475" s="1" t="s">
        <v>20</v>
      </c>
      <c r="M475" s="1" t="s">
        <v>22</v>
      </c>
      <c r="N475" s="5">
        <v>45600</v>
      </c>
    </row>
    <row r="476" spans="1:14" x14ac:dyDescent="0.3">
      <c r="A476" s="1" t="str">
        <f>"4_907-11/2024/Л"</f>
        <v>4_907-11/2024/Л</v>
      </c>
      <c r="B476" s="6">
        <v>45600</v>
      </c>
      <c r="C476" s="1" t="str">
        <f>"00155"</f>
        <v>00155</v>
      </c>
      <c r="D476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476" s="1" t="str">
        <f>"03193413"</f>
        <v>03193413</v>
      </c>
      <c r="F47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476" s="1" t="str">
        <f t="shared" si="65"/>
        <v>Фізична особа</v>
      </c>
      <c r="H476" s="1" t="s">
        <v>20</v>
      </c>
      <c r="I476" s="1" t="s">
        <v>20</v>
      </c>
      <c r="J476" s="1" t="str">
        <f>"Заявника сповіщено про результат"</f>
        <v>Заявника сповіщено про результат</v>
      </c>
      <c r="K476" s="5">
        <v>45610</v>
      </c>
      <c r="L476" s="1" t="s">
        <v>20</v>
      </c>
      <c r="M476" s="1" t="s">
        <v>22</v>
      </c>
      <c r="N476" s="5">
        <v>45632</v>
      </c>
    </row>
    <row r="477" spans="1:14" x14ac:dyDescent="0.3">
      <c r="A477" s="1" t="str">
        <f>"4_908-11/2024/Г"</f>
        <v>4_908-11/2024/Г</v>
      </c>
      <c r="B477" s="6">
        <v>45600</v>
      </c>
      <c r="C477" s="1" t="str">
        <f>"00155"</f>
        <v>00155</v>
      </c>
      <c r="D477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477" s="1" t="str">
        <f>"03193413"</f>
        <v>03193413</v>
      </c>
      <c r="F47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477" s="1" t="str">
        <f t="shared" si="65"/>
        <v>Фізична особа</v>
      </c>
      <c r="H477" s="1" t="s">
        <v>20</v>
      </c>
      <c r="I477" s="1" t="s">
        <v>20</v>
      </c>
      <c r="J477" s="1" t="str">
        <f>"Заявника сповіщено про результат"</f>
        <v>Заявника сповіщено про результат</v>
      </c>
      <c r="K477" s="5">
        <v>45610</v>
      </c>
      <c r="L477" s="1" t="s">
        <v>20</v>
      </c>
      <c r="M477" s="1" t="s">
        <v>22</v>
      </c>
      <c r="N477" s="5">
        <v>45623</v>
      </c>
    </row>
    <row r="478" spans="1:14" x14ac:dyDescent="0.3">
      <c r="A478" s="1" t="str">
        <f>"4_909-11/2024/Л"</f>
        <v>4_909-11/2024/Л</v>
      </c>
      <c r="B478" s="6">
        <v>45600</v>
      </c>
      <c r="C478" s="1" t="str">
        <f>"33"</f>
        <v>33</v>
      </c>
      <c r="D478" s="2" t="str">
        <f>"33 Довідки різного характеру"</f>
        <v>33 Довідки різного характеру</v>
      </c>
      <c r="E478" s="1" t="s">
        <v>20</v>
      </c>
      <c r="F478" s="1" t="str">
        <f t="shared" ref="F478:F485" si="70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78" s="1" t="str">
        <f t="shared" si="65"/>
        <v>Фізична особа</v>
      </c>
      <c r="H478" s="1" t="s">
        <v>20</v>
      </c>
      <c r="I478" s="1" t="s">
        <v>20</v>
      </c>
      <c r="J478" s="1" t="str">
        <f t="shared" ref="J478:J499" si="71">"Закрито"</f>
        <v>Закрито</v>
      </c>
      <c r="K478" s="5">
        <v>45600</v>
      </c>
      <c r="L478" s="1" t="s">
        <v>20</v>
      </c>
      <c r="M478" s="1" t="s">
        <v>22</v>
      </c>
      <c r="N478" s="5">
        <v>45600</v>
      </c>
    </row>
    <row r="479" spans="1:14" x14ac:dyDescent="0.3">
      <c r="A479" s="1" t="str">
        <f>"2_1861/2129-11/2024/п"</f>
        <v>2_1861/2129-11/2024/п</v>
      </c>
      <c r="B479" s="6">
        <v>45601</v>
      </c>
      <c r="C479" s="1" t="str">
        <f>"00042"</f>
        <v>00042</v>
      </c>
      <c r="D479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479" s="1" t="s">
        <v>20</v>
      </c>
      <c r="F479" s="1" t="str">
        <f t="shared" si="70"/>
        <v>Центр надання адміністративних послуг Рогатинської міської ради</v>
      </c>
      <c r="G479" s="1" t="str">
        <f>"Юридична особа"</f>
        <v>Юридична особа</v>
      </c>
      <c r="H479" s="1" t="str">
        <f>"приватне акціонерне товариство ""національна енергетична компанія ""Укренерго"""</f>
        <v>приватне акціонерне товариство "національна енергетична компанія "Укренерго"</v>
      </c>
      <c r="I479" s="1" t="str">
        <f>"00100227"</f>
        <v>00100227</v>
      </c>
      <c r="J479" s="1" t="str">
        <f t="shared" si="71"/>
        <v>Закрито</v>
      </c>
      <c r="K479" s="5">
        <v>45601</v>
      </c>
      <c r="L479" s="1" t="s">
        <v>20</v>
      </c>
      <c r="M479" s="1" t="s">
        <v>22</v>
      </c>
      <c r="N479" s="5">
        <v>45601</v>
      </c>
    </row>
    <row r="480" spans="1:14" x14ac:dyDescent="0.3">
      <c r="A480" s="1" t="str">
        <f>"2_1862/2129-11/2024/Б"</f>
        <v>2_1862/2129-11/2024/Б</v>
      </c>
      <c r="B480" s="6">
        <v>45601</v>
      </c>
      <c r="C480" s="1" t="str">
        <f>"00041"</f>
        <v>00041</v>
      </c>
      <c r="D48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480" s="1" t="s">
        <v>20</v>
      </c>
      <c r="F480" s="1" t="str">
        <f t="shared" si="70"/>
        <v>Центр надання адміністративних послуг Рогатинської міської ради</v>
      </c>
      <c r="G480" s="1" t="str">
        <f t="shared" ref="G480:G509" si="72">"Фізична особа"</f>
        <v>Фізична особа</v>
      </c>
      <c r="H480" s="1" t="s">
        <v>20</v>
      </c>
      <c r="I480" s="1" t="s">
        <v>20</v>
      </c>
      <c r="J480" s="1" t="str">
        <f t="shared" si="71"/>
        <v>Закрито</v>
      </c>
      <c r="K480" s="5">
        <v>45601</v>
      </c>
      <c r="L480" s="1" t="s">
        <v>20</v>
      </c>
      <c r="M480" s="1" t="s">
        <v>22</v>
      </c>
      <c r="N480" s="5">
        <v>45601</v>
      </c>
    </row>
    <row r="481" spans="1:14" x14ac:dyDescent="0.3">
      <c r="A481" s="1" t="str">
        <f>"2_1863/2129-11/2024/Б"</f>
        <v>2_1863/2129-11/2024/Б</v>
      </c>
      <c r="B481" s="6">
        <v>45601</v>
      </c>
      <c r="C481" s="1" t="str">
        <f>"00041"</f>
        <v>00041</v>
      </c>
      <c r="D48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481" s="1" t="s">
        <v>20</v>
      </c>
      <c r="F481" s="1" t="str">
        <f t="shared" si="70"/>
        <v>Центр надання адміністративних послуг Рогатинської міської ради</v>
      </c>
      <c r="G481" s="1" t="str">
        <f t="shared" si="72"/>
        <v>Фізична особа</v>
      </c>
      <c r="H481" s="1" t="s">
        <v>20</v>
      </c>
      <c r="I481" s="1" t="s">
        <v>20</v>
      </c>
      <c r="J481" s="1" t="str">
        <f t="shared" si="71"/>
        <v>Закрито</v>
      </c>
      <c r="K481" s="5">
        <v>45601</v>
      </c>
      <c r="L481" s="1" t="s">
        <v>20</v>
      </c>
      <c r="M481" s="1" t="s">
        <v>22</v>
      </c>
      <c r="N481" s="5">
        <v>45601</v>
      </c>
    </row>
    <row r="482" spans="1:14" x14ac:dyDescent="0.3">
      <c r="A482" s="1" t="str">
        <f>"4_910-11/2024/К"</f>
        <v>4_910-11/2024/К</v>
      </c>
      <c r="B482" s="6">
        <v>45601</v>
      </c>
      <c r="C482" s="1" t="str">
        <f>"01217"</f>
        <v>01217</v>
      </c>
      <c r="D482" s="2" t="str">
        <f>"Реєстрація місця проживання дитини до 14 років"</f>
        <v>Реєстрація місця проживання дитини до 14 років</v>
      </c>
      <c r="E482" s="1" t="s">
        <v>20</v>
      </c>
      <c r="F482" s="1" t="str">
        <f t="shared" si="70"/>
        <v>Центр надання адміністративних послуг Рогатинської міської ради</v>
      </c>
      <c r="G482" s="1" t="str">
        <f t="shared" si="72"/>
        <v>Фізична особа</v>
      </c>
      <c r="H482" s="1" t="s">
        <v>20</v>
      </c>
      <c r="I482" s="1" t="s">
        <v>20</v>
      </c>
      <c r="J482" s="1" t="str">
        <f t="shared" si="71"/>
        <v>Закрито</v>
      </c>
      <c r="K482" s="5">
        <v>45601</v>
      </c>
      <c r="L482" s="1" t="str">
        <f>"45.42"</f>
        <v>45.42</v>
      </c>
      <c r="M482" s="1" t="s">
        <v>22</v>
      </c>
      <c r="N482" s="5">
        <v>45601</v>
      </c>
    </row>
    <row r="483" spans="1:14" x14ac:dyDescent="0.3">
      <c r="A483" s="1" t="str">
        <f>"4_911-11/2024/К"</f>
        <v>4_911-11/2024/К</v>
      </c>
      <c r="B483" s="6">
        <v>45601</v>
      </c>
      <c r="C483" s="1" t="str">
        <f>"00038"</f>
        <v>00038</v>
      </c>
      <c r="D48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83" s="1" t="s">
        <v>20</v>
      </c>
      <c r="F483" s="1" t="str">
        <f t="shared" si="70"/>
        <v>Центр надання адміністративних послуг Рогатинської міської ради</v>
      </c>
      <c r="G483" s="1" t="str">
        <f t="shared" si="72"/>
        <v>Фізична особа</v>
      </c>
      <c r="H483" s="1" t="s">
        <v>20</v>
      </c>
      <c r="I483" s="1" t="s">
        <v>20</v>
      </c>
      <c r="J483" s="1" t="str">
        <f t="shared" si="71"/>
        <v>Закрито</v>
      </c>
      <c r="K483" s="5">
        <v>45601</v>
      </c>
      <c r="L483" s="1" t="s">
        <v>20</v>
      </c>
      <c r="M483" s="1" t="s">
        <v>22</v>
      </c>
      <c r="N483" s="5">
        <v>45601</v>
      </c>
    </row>
    <row r="484" spans="1:14" x14ac:dyDescent="0.3">
      <c r="A484" s="1" t="str">
        <f>"2_1864/2129-11/2024/Д"</f>
        <v>2_1864/2129-11/2024/Д</v>
      </c>
      <c r="B484" s="6">
        <v>45601</v>
      </c>
      <c r="C484" s="1" t="str">
        <f>"00041"</f>
        <v>00041</v>
      </c>
      <c r="D48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484" s="1" t="s">
        <v>20</v>
      </c>
      <c r="F484" s="1" t="str">
        <f t="shared" si="70"/>
        <v>Центр надання адміністративних послуг Рогатинської міської ради</v>
      </c>
      <c r="G484" s="1" t="str">
        <f t="shared" si="72"/>
        <v>Фізична особа</v>
      </c>
      <c r="H484" s="1" t="s">
        <v>20</v>
      </c>
      <c r="I484" s="1" t="s">
        <v>20</v>
      </c>
      <c r="J484" s="1" t="str">
        <f t="shared" si="71"/>
        <v>Закрито</v>
      </c>
      <c r="K484" s="5">
        <v>45601</v>
      </c>
      <c r="L484" s="1" t="s">
        <v>20</v>
      </c>
      <c r="M484" s="1" t="s">
        <v>22</v>
      </c>
      <c r="N484" s="5">
        <v>45601</v>
      </c>
    </row>
    <row r="485" spans="1:14" x14ac:dyDescent="0.3">
      <c r="A485" s="1" t="str">
        <f>"4_912-11/2024/Г"</f>
        <v>4_912-11/2024/Г</v>
      </c>
      <c r="B485" s="6">
        <v>45601</v>
      </c>
      <c r="C485" s="1" t="str">
        <f>"00038"</f>
        <v>00038</v>
      </c>
      <c r="D48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85" s="1" t="s">
        <v>20</v>
      </c>
      <c r="F485" s="1" t="str">
        <f t="shared" si="70"/>
        <v>Центр надання адміністративних послуг Рогатинської міської ради</v>
      </c>
      <c r="G485" s="1" t="str">
        <f t="shared" si="72"/>
        <v>Фізична особа</v>
      </c>
      <c r="H485" s="1" t="s">
        <v>20</v>
      </c>
      <c r="I485" s="1" t="s">
        <v>20</v>
      </c>
      <c r="J485" s="1" t="str">
        <f t="shared" si="71"/>
        <v>Закрито</v>
      </c>
      <c r="K485" s="5">
        <v>45601</v>
      </c>
      <c r="L485" s="1" t="s">
        <v>20</v>
      </c>
      <c r="M485" s="1" t="s">
        <v>22</v>
      </c>
      <c r="N485" s="5">
        <v>45601</v>
      </c>
    </row>
    <row r="486" spans="1:14" x14ac:dyDescent="0.3">
      <c r="A486" s="1" t="str">
        <f>"16_643-11/2024/О"</f>
        <v>16_643-11/2024/О</v>
      </c>
      <c r="B486" s="6">
        <v>45601</v>
      </c>
      <c r="C486" s="1" t="str">
        <f>"00064"</f>
        <v>00064</v>
      </c>
      <c r="D486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486" s="1" t="s">
        <v>20</v>
      </c>
      <c r="F486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486" s="1" t="str">
        <f t="shared" si="72"/>
        <v>Фізична особа</v>
      </c>
      <c r="H486" s="1" t="s">
        <v>20</v>
      </c>
      <c r="I486" s="1" t="s">
        <v>20</v>
      </c>
      <c r="J486" s="1" t="str">
        <f t="shared" si="71"/>
        <v>Закрито</v>
      </c>
      <c r="K486" s="5">
        <v>45601</v>
      </c>
      <c r="L486" s="1" t="s">
        <v>20</v>
      </c>
      <c r="M486" s="1" t="s">
        <v>22</v>
      </c>
      <c r="N486" s="5">
        <v>45601</v>
      </c>
    </row>
    <row r="487" spans="1:14" x14ac:dyDescent="0.3">
      <c r="A487" s="1" t="str">
        <f>"2_1865/2129-11/2024/Д"</f>
        <v>2_1865/2129-11/2024/Д</v>
      </c>
      <c r="B487" s="6">
        <v>45601</v>
      </c>
      <c r="C487" s="1" t="str">
        <f>"00041"</f>
        <v>00041</v>
      </c>
      <c r="D48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487" s="1" t="s">
        <v>20</v>
      </c>
      <c r="F48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87" s="1" t="str">
        <f t="shared" si="72"/>
        <v>Фізична особа</v>
      </c>
      <c r="H487" s="1" t="s">
        <v>20</v>
      </c>
      <c r="I487" s="1" t="s">
        <v>20</v>
      </c>
      <c r="J487" s="1" t="str">
        <f t="shared" si="71"/>
        <v>Закрито</v>
      </c>
      <c r="K487" s="5">
        <v>45601</v>
      </c>
      <c r="L487" s="1" t="s">
        <v>20</v>
      </c>
      <c r="M487" s="1" t="s">
        <v>22</v>
      </c>
      <c r="N487" s="5">
        <v>45601</v>
      </c>
    </row>
    <row r="488" spans="1:14" x14ac:dyDescent="0.3">
      <c r="A488" s="1" t="str">
        <f>"26_352-11/2024/Ш"</f>
        <v>26_352-11/2024/Ш</v>
      </c>
      <c r="B488" s="6">
        <v>45601</v>
      </c>
      <c r="C488" s="1" t="str">
        <f>"00037"</f>
        <v>00037</v>
      </c>
      <c r="D488" s="2" t="str">
        <f>"Зняття з реєстрації місця проживання"</f>
        <v>Зняття з реєстрації місця проживання</v>
      </c>
      <c r="E488" s="1" t="s">
        <v>20</v>
      </c>
      <c r="F4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88" s="1" t="str">
        <f t="shared" si="72"/>
        <v>Фізична особа</v>
      </c>
      <c r="H488" s="1" t="s">
        <v>20</v>
      </c>
      <c r="I488" s="1" t="s">
        <v>20</v>
      </c>
      <c r="J488" s="1" t="str">
        <f t="shared" si="71"/>
        <v>Закрито</v>
      </c>
      <c r="K488" s="5">
        <v>45601</v>
      </c>
      <c r="L488" s="1" t="s">
        <v>20</v>
      </c>
      <c r="M488" s="1" t="s">
        <v>22</v>
      </c>
      <c r="N488" s="5">
        <v>45601</v>
      </c>
    </row>
    <row r="489" spans="1:14" x14ac:dyDescent="0.3">
      <c r="A489" s="1" t="str">
        <f>"16_644-11/2024/О"</f>
        <v>16_644-11/2024/О</v>
      </c>
      <c r="B489" s="6">
        <v>45601</v>
      </c>
      <c r="C489" s="1" t="str">
        <f>"33"</f>
        <v>33</v>
      </c>
      <c r="D489" s="2" t="str">
        <f>"33 Довідки різного характеру"</f>
        <v>33 Довідки різного характеру</v>
      </c>
      <c r="E489" s="1" t="s">
        <v>20</v>
      </c>
      <c r="F48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89" s="1" t="str">
        <f t="shared" si="72"/>
        <v>Фізична особа</v>
      </c>
      <c r="H489" s="1" t="s">
        <v>20</v>
      </c>
      <c r="I489" s="1" t="s">
        <v>20</v>
      </c>
      <c r="J489" s="1" t="str">
        <f t="shared" si="71"/>
        <v>Закрито</v>
      </c>
      <c r="K489" s="5">
        <v>45601</v>
      </c>
      <c r="L489" s="1" t="s">
        <v>20</v>
      </c>
      <c r="M489" s="1" t="s">
        <v>22</v>
      </c>
      <c r="N489" s="5">
        <v>45601</v>
      </c>
    </row>
    <row r="490" spans="1:14" x14ac:dyDescent="0.3">
      <c r="A490" s="1" t="str">
        <f>"2_1866/2129-11/2024/Д"</f>
        <v>2_1866/2129-11/2024/Д</v>
      </c>
      <c r="B490" s="6">
        <v>45601</v>
      </c>
      <c r="C490" s="1" t="str">
        <f>"00041"</f>
        <v>00041</v>
      </c>
      <c r="D49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490" s="1" t="s">
        <v>20</v>
      </c>
      <c r="F49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90" s="1" t="str">
        <f t="shared" si="72"/>
        <v>Фізична особа</v>
      </c>
      <c r="H490" s="1" t="s">
        <v>20</v>
      </c>
      <c r="I490" s="1" t="s">
        <v>20</v>
      </c>
      <c r="J490" s="1" t="str">
        <f t="shared" si="71"/>
        <v>Закрито</v>
      </c>
      <c r="K490" s="5">
        <v>45601</v>
      </c>
      <c r="L490" s="1" t="s">
        <v>20</v>
      </c>
      <c r="M490" s="1" t="s">
        <v>22</v>
      </c>
      <c r="N490" s="5">
        <v>45601</v>
      </c>
    </row>
    <row r="491" spans="1:14" x14ac:dyDescent="0.3">
      <c r="A491" s="1" t="str">
        <f>"4_913-11/2024/С"</f>
        <v>4_913-11/2024/С</v>
      </c>
      <c r="B491" s="6">
        <v>45601</v>
      </c>
      <c r="C491" s="1" t="str">
        <f>"33"</f>
        <v>33</v>
      </c>
      <c r="D491" s="2" t="str">
        <f>"33 Довідки різного характеру"</f>
        <v>33 Довідки різного характеру</v>
      </c>
      <c r="E491" s="1" t="s">
        <v>20</v>
      </c>
      <c r="F49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91" s="1" t="str">
        <f t="shared" si="72"/>
        <v>Фізична особа</v>
      </c>
      <c r="H491" s="1" t="s">
        <v>20</v>
      </c>
      <c r="I491" s="1" t="s">
        <v>20</v>
      </c>
      <c r="J491" s="1" t="str">
        <f t="shared" si="71"/>
        <v>Закрито</v>
      </c>
      <c r="K491" s="5">
        <v>45601</v>
      </c>
      <c r="L491" s="1" t="s">
        <v>20</v>
      </c>
      <c r="M491" s="1" t="s">
        <v>22</v>
      </c>
      <c r="N491" s="5">
        <v>45601</v>
      </c>
    </row>
    <row r="492" spans="1:14" x14ac:dyDescent="0.3">
      <c r="A492" s="1" t="str">
        <f>"16_645-11/2024/О"</f>
        <v>16_645-11/2024/О</v>
      </c>
      <c r="B492" s="6">
        <v>45601</v>
      </c>
      <c r="C492" s="1" t="str">
        <f>"00155"</f>
        <v>00155</v>
      </c>
      <c r="D492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492" s="1" t="str">
        <f>"03193413"</f>
        <v>03193413</v>
      </c>
      <c r="F49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492" s="1" t="str">
        <f t="shared" si="72"/>
        <v>Фізична особа</v>
      </c>
      <c r="H492" s="1" t="s">
        <v>20</v>
      </c>
      <c r="I492" s="1" t="s">
        <v>20</v>
      </c>
      <c r="J492" s="1" t="str">
        <f t="shared" si="71"/>
        <v>Закрито</v>
      </c>
      <c r="K492" s="5">
        <v>45639</v>
      </c>
      <c r="L492" s="1" t="s">
        <v>20</v>
      </c>
      <c r="M492" s="1" t="s">
        <v>22</v>
      </c>
      <c r="N492" s="5">
        <v>45638</v>
      </c>
    </row>
    <row r="493" spans="1:14" x14ac:dyDescent="0.3">
      <c r="A493" s="1" t="str">
        <f>"22_518-11/2024/Ч"</f>
        <v>22_518-11/2024/Ч</v>
      </c>
      <c r="B493" s="6">
        <v>45601</v>
      </c>
      <c r="C493" s="1" t="str">
        <f>"33"</f>
        <v>33</v>
      </c>
      <c r="D493" s="2" t="str">
        <f>"33 Довідки різного характеру"</f>
        <v>33 Довідки різного характеру</v>
      </c>
      <c r="E493" s="1" t="s">
        <v>20</v>
      </c>
      <c r="F493" s="1" t="str">
        <f t="shared" ref="F493:F499" si="73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493" s="1" t="str">
        <f t="shared" si="72"/>
        <v>Фізична особа</v>
      </c>
      <c r="H493" s="1" t="s">
        <v>20</v>
      </c>
      <c r="I493" s="1" t="s">
        <v>20</v>
      </c>
      <c r="J493" s="1" t="str">
        <f t="shared" si="71"/>
        <v>Закрито</v>
      </c>
      <c r="K493" s="5">
        <v>45601</v>
      </c>
      <c r="L493" s="1" t="s">
        <v>20</v>
      </c>
      <c r="M493" s="1" t="s">
        <v>22</v>
      </c>
      <c r="N493" s="5">
        <v>45601</v>
      </c>
    </row>
    <row r="494" spans="1:14" x14ac:dyDescent="0.3">
      <c r="A494" s="1" t="str">
        <f>"28_629-11/2024/М"</f>
        <v>28_629-11/2024/М</v>
      </c>
      <c r="B494" s="6">
        <v>45601</v>
      </c>
      <c r="C494" s="1" t="str">
        <f>"00038"</f>
        <v>00038</v>
      </c>
      <c r="D49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494" s="1" t="s">
        <v>20</v>
      </c>
      <c r="F494" s="1" t="str">
        <f t="shared" si="73"/>
        <v>Центр надання адміністративних послуг Рогатинської міської ради</v>
      </c>
      <c r="G494" s="1" t="str">
        <f t="shared" si="72"/>
        <v>Фізична особа</v>
      </c>
      <c r="H494" s="1" t="s">
        <v>20</v>
      </c>
      <c r="I494" s="1" t="s">
        <v>20</v>
      </c>
      <c r="J494" s="1" t="str">
        <f t="shared" si="71"/>
        <v>Закрито</v>
      </c>
      <c r="K494" s="5">
        <v>45601</v>
      </c>
      <c r="L494" s="1" t="s">
        <v>20</v>
      </c>
      <c r="M494" s="1" t="s">
        <v>22</v>
      </c>
      <c r="N494" s="5">
        <v>45601</v>
      </c>
    </row>
    <row r="495" spans="1:14" x14ac:dyDescent="0.3">
      <c r="A495" s="1" t="str">
        <f>"35_496-11/2024/Х"</f>
        <v>35_496-11/2024/Х</v>
      </c>
      <c r="B495" s="6">
        <v>45601</v>
      </c>
      <c r="C495" s="1" t="str">
        <f>"33"</f>
        <v>33</v>
      </c>
      <c r="D495" s="2" t="str">
        <f>"33 Довідки різного характеру"</f>
        <v>33 Довідки різного характеру</v>
      </c>
      <c r="E495" s="1" t="s">
        <v>20</v>
      </c>
      <c r="F495" s="1" t="str">
        <f t="shared" si="73"/>
        <v>Центр надання адміністративних послуг Рогатинської міської ради</v>
      </c>
      <c r="G495" s="1" t="str">
        <f t="shared" si="72"/>
        <v>Фізична особа</v>
      </c>
      <c r="H495" s="1" t="s">
        <v>20</v>
      </c>
      <c r="I495" s="1" t="s">
        <v>20</v>
      </c>
      <c r="J495" s="1" t="str">
        <f t="shared" si="71"/>
        <v>Закрито</v>
      </c>
      <c r="K495" s="5">
        <v>45601</v>
      </c>
      <c r="L495" s="1" t="s">
        <v>20</v>
      </c>
      <c r="M495" s="1" t="s">
        <v>22</v>
      </c>
      <c r="N495" s="5">
        <v>45601</v>
      </c>
    </row>
    <row r="496" spans="1:14" x14ac:dyDescent="0.3">
      <c r="A496" s="1" t="str">
        <f>"4_914-11/2024/К"</f>
        <v>4_914-11/2024/К</v>
      </c>
      <c r="B496" s="6">
        <v>45601</v>
      </c>
      <c r="C496" s="1" t="str">
        <f>"33"</f>
        <v>33</v>
      </c>
      <c r="D496" s="2" t="str">
        <f>"33 Довідки різного характеру"</f>
        <v>33 Довідки різного характеру</v>
      </c>
      <c r="E496" s="1" t="s">
        <v>20</v>
      </c>
      <c r="F496" s="1" t="str">
        <f t="shared" si="73"/>
        <v>Центр надання адміністративних послуг Рогатинської міської ради</v>
      </c>
      <c r="G496" s="1" t="str">
        <f t="shared" si="72"/>
        <v>Фізична особа</v>
      </c>
      <c r="H496" s="1" t="s">
        <v>20</v>
      </c>
      <c r="I496" s="1" t="s">
        <v>20</v>
      </c>
      <c r="J496" s="1" t="str">
        <f t="shared" si="71"/>
        <v>Закрито</v>
      </c>
      <c r="K496" s="5">
        <v>45601</v>
      </c>
      <c r="L496" s="1" t="s">
        <v>20</v>
      </c>
      <c r="M496" s="1" t="s">
        <v>22</v>
      </c>
      <c r="N496" s="5">
        <v>45601</v>
      </c>
    </row>
    <row r="497" spans="1:14" x14ac:dyDescent="0.3">
      <c r="A497" s="1" t="str">
        <f>"2_1867/2129-11/2024/К"</f>
        <v>2_1867/2129-11/2024/К</v>
      </c>
      <c r="B497" s="6">
        <v>45601</v>
      </c>
      <c r="C497" s="1" t="str">
        <f>"00047"</f>
        <v>00047</v>
      </c>
      <c r="D497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497" s="1" t="s">
        <v>20</v>
      </c>
      <c r="F497" s="1" t="str">
        <f t="shared" si="73"/>
        <v>Центр надання адміністративних послуг Рогатинської міської ради</v>
      </c>
      <c r="G497" s="1" t="str">
        <f t="shared" si="72"/>
        <v>Фізична особа</v>
      </c>
      <c r="H497" s="1" t="s">
        <v>20</v>
      </c>
      <c r="I497" s="1" t="s">
        <v>20</v>
      </c>
      <c r="J497" s="1" t="str">
        <f t="shared" si="71"/>
        <v>Закрито</v>
      </c>
      <c r="K497" s="5">
        <v>45601</v>
      </c>
      <c r="L497" s="1" t="s">
        <v>20</v>
      </c>
      <c r="M497" s="1" t="s">
        <v>22</v>
      </c>
      <c r="N497" s="5">
        <v>45601</v>
      </c>
    </row>
    <row r="498" spans="1:14" x14ac:dyDescent="0.3">
      <c r="A498" s="1" t="str">
        <f>"35_497-11/2024/Г"</f>
        <v>35_497-11/2024/Г</v>
      </c>
      <c r="B498" s="6">
        <v>45601</v>
      </c>
      <c r="C498" s="1" t="str">
        <f>"33"</f>
        <v>33</v>
      </c>
      <c r="D498" s="2" t="str">
        <f>"33 Довідки різного характеру"</f>
        <v>33 Довідки різного характеру</v>
      </c>
      <c r="E498" s="1" t="s">
        <v>20</v>
      </c>
      <c r="F498" s="1" t="str">
        <f t="shared" si="73"/>
        <v>Центр надання адміністративних послуг Рогатинської міської ради</v>
      </c>
      <c r="G498" s="1" t="str">
        <f t="shared" si="72"/>
        <v>Фізична особа</v>
      </c>
      <c r="H498" s="1" t="s">
        <v>20</v>
      </c>
      <c r="I498" s="1" t="s">
        <v>20</v>
      </c>
      <c r="J498" s="1" t="str">
        <f t="shared" si="71"/>
        <v>Закрито</v>
      </c>
      <c r="K498" s="5">
        <v>45601</v>
      </c>
      <c r="L498" s="1" t="s">
        <v>20</v>
      </c>
      <c r="M498" s="1" t="s">
        <v>22</v>
      </c>
      <c r="N498" s="5">
        <v>45601</v>
      </c>
    </row>
    <row r="499" spans="1:14" x14ac:dyDescent="0.3">
      <c r="A499" s="1" t="str">
        <f>"4_915-11/2024/Г"</f>
        <v>4_915-11/2024/Г</v>
      </c>
      <c r="B499" s="6">
        <v>45601</v>
      </c>
      <c r="C499" s="1" t="str">
        <f>"00034"</f>
        <v>00034</v>
      </c>
      <c r="D499" s="2" t="str">
        <f>"Реєстрація місця проживання"</f>
        <v>Реєстрація місця проживання</v>
      </c>
      <c r="E499" s="1" t="s">
        <v>20</v>
      </c>
      <c r="F499" s="1" t="str">
        <f t="shared" si="73"/>
        <v>Центр надання адміністративних послуг Рогатинської міської ради</v>
      </c>
      <c r="G499" s="1" t="str">
        <f t="shared" si="72"/>
        <v>Фізична особа</v>
      </c>
      <c r="H499" s="1" t="s">
        <v>20</v>
      </c>
      <c r="I499" s="1" t="s">
        <v>20</v>
      </c>
      <c r="J499" s="1" t="str">
        <f t="shared" si="71"/>
        <v>Закрито</v>
      </c>
      <c r="K499" s="5">
        <v>45601</v>
      </c>
      <c r="L499" s="1" t="str">
        <f>"45.42"</f>
        <v>45.42</v>
      </c>
      <c r="M499" s="1" t="s">
        <v>22</v>
      </c>
      <c r="N499" s="5">
        <v>45601</v>
      </c>
    </row>
    <row r="500" spans="1:14" x14ac:dyDescent="0.3">
      <c r="A500" s="1" t="str">
        <f>"14_948-11/2024/П"</f>
        <v>14_948-11/2024/П</v>
      </c>
      <c r="B500" s="6">
        <v>45601</v>
      </c>
      <c r="C500" s="1" t="str">
        <f>"00144"</f>
        <v>00144</v>
      </c>
      <c r="D500" s="2" t="str">
        <f>"Призначення державної допомоги при народженні дитини"</f>
        <v>Призначення державної допомоги при народженні дитини</v>
      </c>
      <c r="E500" s="1" t="str">
        <f>"03193413"</f>
        <v>03193413</v>
      </c>
      <c r="F50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500" s="1" t="str">
        <f t="shared" si="72"/>
        <v>Фізична особа</v>
      </c>
      <c r="H500" s="1" t="s">
        <v>20</v>
      </c>
      <c r="I500" s="1" t="s">
        <v>20</v>
      </c>
      <c r="J500" s="1" t="str">
        <f>"На обробці в СНАП"</f>
        <v>На обробці в СНАП</v>
      </c>
      <c r="K500" s="1" t="s">
        <v>20</v>
      </c>
      <c r="L500" s="1" t="s">
        <v>20</v>
      </c>
      <c r="M500" s="1" t="s">
        <v>22</v>
      </c>
      <c r="N500" s="1" t="s">
        <v>20</v>
      </c>
    </row>
    <row r="501" spans="1:14" x14ac:dyDescent="0.3">
      <c r="A501" s="1" t="str">
        <f>"4_916-11/2024/Г"</f>
        <v>4_916-11/2024/Г</v>
      </c>
      <c r="B501" s="6">
        <v>45601</v>
      </c>
      <c r="C501" s="1" t="str">
        <f>"00038"</f>
        <v>00038</v>
      </c>
      <c r="D50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01" s="1" t="s">
        <v>20</v>
      </c>
      <c r="F50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01" s="1" t="str">
        <f t="shared" si="72"/>
        <v>Фізична особа</v>
      </c>
      <c r="H501" s="1" t="s">
        <v>20</v>
      </c>
      <c r="I501" s="1" t="s">
        <v>20</v>
      </c>
      <c r="J501" s="1" t="str">
        <f>"Закрито"</f>
        <v>Закрито</v>
      </c>
      <c r="K501" s="5">
        <v>45601</v>
      </c>
      <c r="L501" s="1" t="s">
        <v>20</v>
      </c>
      <c r="M501" s="1" t="s">
        <v>22</v>
      </c>
      <c r="N501" s="5">
        <v>45601</v>
      </c>
    </row>
    <row r="502" spans="1:14" x14ac:dyDescent="0.3">
      <c r="A502" s="1" t="str">
        <f>"2_1868/2129-11/2024/Ж"</f>
        <v>2_1868/2129-11/2024/Ж</v>
      </c>
      <c r="B502" s="6">
        <v>45601</v>
      </c>
      <c r="C502" s="1" t="str">
        <f>"00047"</f>
        <v>00047</v>
      </c>
      <c r="D502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502" s="1" t="s">
        <v>20</v>
      </c>
      <c r="F50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02" s="1" t="str">
        <f t="shared" si="72"/>
        <v>Фізична особа</v>
      </c>
      <c r="H502" s="1" t="s">
        <v>20</v>
      </c>
      <c r="I502" s="1" t="s">
        <v>20</v>
      </c>
      <c r="J502" s="1" t="str">
        <f>"Закрито"</f>
        <v>Закрито</v>
      </c>
      <c r="K502" s="5">
        <v>45601</v>
      </c>
      <c r="L502" s="1" t="s">
        <v>20</v>
      </c>
      <c r="M502" s="1" t="s">
        <v>22</v>
      </c>
      <c r="N502" s="5">
        <v>45601</v>
      </c>
    </row>
    <row r="503" spans="1:14" x14ac:dyDescent="0.3">
      <c r="A503" s="1" t="str">
        <f>"28_630-11/2024/М"</f>
        <v>28_630-11/2024/М</v>
      </c>
      <c r="B503" s="6">
        <v>45601</v>
      </c>
      <c r="C503" s="1" t="str">
        <f>"00155"</f>
        <v>00155</v>
      </c>
      <c r="D503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503" s="1" t="str">
        <f>"03193413"</f>
        <v>03193413</v>
      </c>
      <c r="F50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503" s="1" t="str">
        <f t="shared" si="72"/>
        <v>Фізична особа</v>
      </c>
      <c r="H503" s="1" t="s">
        <v>20</v>
      </c>
      <c r="I503" s="1" t="s">
        <v>20</v>
      </c>
      <c r="J503" s="1" t="str">
        <f>"Закрито"</f>
        <v>Закрито</v>
      </c>
      <c r="K503" s="5">
        <v>45635</v>
      </c>
      <c r="L503" s="1" t="s">
        <v>20</v>
      </c>
      <c r="M503" s="1" t="s">
        <v>22</v>
      </c>
      <c r="N503" s="5">
        <v>45637</v>
      </c>
    </row>
    <row r="504" spans="1:14" x14ac:dyDescent="0.3">
      <c r="A504" s="1" t="str">
        <f>"2_1869/2129-11/2024/М"</f>
        <v>2_1869/2129-11/2024/М</v>
      </c>
      <c r="B504" s="6">
        <v>45601</v>
      </c>
      <c r="C504" s="1" t="str">
        <f>"00046"</f>
        <v>00046</v>
      </c>
      <c r="D504" s="2" t="str">
        <f>"Внесення змін до записів Державного реєстру речових прав на нерухоме майно"</f>
        <v>Внесення змін до записів Державного реєстру речових прав на нерухоме майно</v>
      </c>
      <c r="E504" s="1" t="s">
        <v>20</v>
      </c>
      <c r="F50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04" s="1" t="str">
        <f t="shared" si="72"/>
        <v>Фізична особа</v>
      </c>
      <c r="H504" s="1" t="s">
        <v>20</v>
      </c>
      <c r="I504" s="1" t="s">
        <v>20</v>
      </c>
      <c r="J504" s="1" t="str">
        <f>"Закрито"</f>
        <v>Закрито</v>
      </c>
      <c r="K504" s="5">
        <v>45601</v>
      </c>
      <c r="L504" s="1" t="s">
        <v>20</v>
      </c>
      <c r="M504" s="1" t="s">
        <v>22</v>
      </c>
      <c r="N504" s="5">
        <v>45601</v>
      </c>
    </row>
    <row r="505" spans="1:14" x14ac:dyDescent="0.3">
      <c r="A505" s="1" t="str">
        <f>"4_917-11/2024/Ф"</f>
        <v>4_917-11/2024/Ф</v>
      </c>
      <c r="B505" s="6">
        <v>45601</v>
      </c>
      <c r="C505" s="1" t="str">
        <f>"00101"</f>
        <v>00101</v>
      </c>
      <c r="D505" s="2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505" s="1" t="str">
        <f>"03193413"</f>
        <v>03193413</v>
      </c>
      <c r="F50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505" s="1" t="str">
        <f t="shared" si="72"/>
        <v>Фізична особа</v>
      </c>
      <c r="H505" s="1" t="s">
        <v>20</v>
      </c>
      <c r="I505" s="1" t="s">
        <v>20</v>
      </c>
      <c r="J505" s="1" t="str">
        <f>"Заявника сповіщено про результат"</f>
        <v>Заявника сповіщено про результат</v>
      </c>
      <c r="K505" s="5">
        <v>45611</v>
      </c>
      <c r="L505" s="1" t="s">
        <v>20</v>
      </c>
      <c r="M505" s="1" t="s">
        <v>22</v>
      </c>
      <c r="N505" s="5">
        <v>45632</v>
      </c>
    </row>
    <row r="506" spans="1:14" x14ac:dyDescent="0.3">
      <c r="A506" s="1" t="str">
        <f>"3_821-11/2024/К"</f>
        <v>3_821-11/2024/К</v>
      </c>
      <c r="B506" s="6">
        <v>45601</v>
      </c>
      <c r="C506" s="1" t="str">
        <f>"33"</f>
        <v>33</v>
      </c>
      <c r="D506" s="2" t="str">
        <f>"33 Довідки різного характеру"</f>
        <v>33 Довідки різного характеру</v>
      </c>
      <c r="E506" s="1" t="s">
        <v>20</v>
      </c>
      <c r="F50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06" s="1" t="str">
        <f t="shared" si="72"/>
        <v>Фізична особа</v>
      </c>
      <c r="H506" s="1" t="s">
        <v>20</v>
      </c>
      <c r="I506" s="1" t="s">
        <v>20</v>
      </c>
      <c r="J506" s="1" t="str">
        <f t="shared" ref="J506:J511" si="74">"Закрито"</f>
        <v>Закрито</v>
      </c>
      <c r="K506" s="5">
        <v>45601</v>
      </c>
      <c r="L506" s="1" t="s">
        <v>20</v>
      </c>
      <c r="M506" s="1" t="s">
        <v>22</v>
      </c>
      <c r="N506" s="5">
        <v>45601</v>
      </c>
    </row>
    <row r="507" spans="1:14" x14ac:dyDescent="0.3">
      <c r="A507" s="1" t="str">
        <f>"3_822-11/2024/К"</f>
        <v>3_822-11/2024/К</v>
      </c>
      <c r="B507" s="6">
        <v>45601</v>
      </c>
      <c r="C507" s="1" t="str">
        <f>"00155"</f>
        <v>00155</v>
      </c>
      <c r="D507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507" s="1" t="str">
        <f>"03193413"</f>
        <v>03193413</v>
      </c>
      <c r="F50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507" s="1" t="str">
        <f t="shared" si="72"/>
        <v>Фізична особа</v>
      </c>
      <c r="H507" s="1" t="s">
        <v>20</v>
      </c>
      <c r="I507" s="1" t="s">
        <v>20</v>
      </c>
      <c r="J507" s="1" t="str">
        <f t="shared" si="74"/>
        <v>Закрито</v>
      </c>
      <c r="K507" s="5">
        <v>45614</v>
      </c>
      <c r="L507" s="1" t="s">
        <v>20</v>
      </c>
      <c r="M507" s="1" t="s">
        <v>22</v>
      </c>
      <c r="N507" s="5">
        <v>45614</v>
      </c>
    </row>
    <row r="508" spans="1:14" x14ac:dyDescent="0.3">
      <c r="A508" s="1" t="str">
        <f>"11_98-11/2024/М"</f>
        <v>11_98-11/2024/М</v>
      </c>
      <c r="B508" s="6">
        <v>45601</v>
      </c>
      <c r="C508" s="1" t="str">
        <f>"00038"</f>
        <v>00038</v>
      </c>
      <c r="D50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08" s="1" t="s">
        <v>20</v>
      </c>
      <c r="F50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08" s="1" t="str">
        <f t="shared" si="72"/>
        <v>Фізична особа</v>
      </c>
      <c r="H508" s="1" t="s">
        <v>20</v>
      </c>
      <c r="I508" s="1" t="s">
        <v>20</v>
      </c>
      <c r="J508" s="1" t="str">
        <f t="shared" si="74"/>
        <v>Закрито</v>
      </c>
      <c r="K508" s="5">
        <v>45601</v>
      </c>
      <c r="L508" s="1" t="s">
        <v>20</v>
      </c>
      <c r="M508" s="1" t="s">
        <v>22</v>
      </c>
      <c r="N508" s="5">
        <v>45601</v>
      </c>
    </row>
    <row r="509" spans="1:14" x14ac:dyDescent="0.3">
      <c r="A509" s="1" t="str">
        <f>"11_99-11/2024/М"</f>
        <v>11_99-11/2024/М</v>
      </c>
      <c r="B509" s="6">
        <v>45601</v>
      </c>
      <c r="C509" s="1" t="str">
        <f>"00038"</f>
        <v>00038</v>
      </c>
      <c r="D50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09" s="1" t="s">
        <v>20</v>
      </c>
      <c r="F50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09" s="1" t="str">
        <f t="shared" si="72"/>
        <v>Фізична особа</v>
      </c>
      <c r="H509" s="1" t="s">
        <v>20</v>
      </c>
      <c r="I509" s="1" t="s">
        <v>20</v>
      </c>
      <c r="J509" s="1" t="str">
        <f t="shared" si="74"/>
        <v>Закрито</v>
      </c>
      <c r="K509" s="5">
        <v>45601</v>
      </c>
      <c r="L509" s="1" t="s">
        <v>20</v>
      </c>
      <c r="M509" s="1" t="s">
        <v>22</v>
      </c>
      <c r="N509" s="5">
        <v>45601</v>
      </c>
    </row>
    <row r="510" spans="1:14" x14ac:dyDescent="0.3">
      <c r="A510" s="1" t="str">
        <f>"2_1870/2129-11/2024/Ф"</f>
        <v>2_1870/2129-11/2024/Ф</v>
      </c>
      <c r="B510" s="6">
        <v>45601</v>
      </c>
      <c r="C510" s="1" t="str">
        <f>"00042"</f>
        <v>00042</v>
      </c>
      <c r="D510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510" s="1" t="s">
        <v>20</v>
      </c>
      <c r="F51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10" s="1" t="str">
        <f>"Юридична особа"</f>
        <v>Юридична особа</v>
      </c>
      <c r="H510" s="1" t="str">
        <f>"Фермерське господарство ""МИХАЙЛИШИН"""</f>
        <v>Фермерське господарство "МИХАЙЛИШИН"</v>
      </c>
      <c r="I510" s="1" t="str">
        <f>"42656690"</f>
        <v>42656690</v>
      </c>
      <c r="J510" s="1" t="str">
        <f t="shared" si="74"/>
        <v>Закрито</v>
      </c>
      <c r="K510" s="5">
        <v>45601</v>
      </c>
      <c r="L510" s="1" t="s">
        <v>20</v>
      </c>
      <c r="M510" s="1" t="s">
        <v>22</v>
      </c>
      <c r="N510" s="5">
        <v>45601</v>
      </c>
    </row>
    <row r="511" spans="1:14" x14ac:dyDescent="0.3">
      <c r="A511" s="1" t="str">
        <f>"2_1871/2129-11/2024/Р"</f>
        <v>2_1871/2129-11/2024/Р</v>
      </c>
      <c r="B511" s="6">
        <v>45601</v>
      </c>
      <c r="C511" s="1" t="str">
        <f>"00041"</f>
        <v>00041</v>
      </c>
      <c r="D51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11" s="1" t="s">
        <v>20</v>
      </c>
      <c r="F51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11" s="1" t="str">
        <f>"Юридична особа"</f>
        <v>Юридична особа</v>
      </c>
      <c r="H511" s="1" t="str">
        <f>"РОГАТИНСЬКА МІСЬКА РАДА"</f>
        <v>РОГАТИНСЬКА МІСЬКА РАДА</v>
      </c>
      <c r="I511" s="1" t="str">
        <f>"04054323"</f>
        <v>04054323</v>
      </c>
      <c r="J511" s="1" t="str">
        <f t="shared" si="74"/>
        <v>Закрито</v>
      </c>
      <c r="K511" s="5">
        <v>45601</v>
      </c>
      <c r="L511" s="1" t="s">
        <v>20</v>
      </c>
      <c r="M511" s="1" t="s">
        <v>22</v>
      </c>
      <c r="N511" s="5">
        <v>45601</v>
      </c>
    </row>
    <row r="512" spans="1:14" x14ac:dyDescent="0.3">
      <c r="A512" s="1" t="str">
        <f>"11_101-11/2024/М"</f>
        <v>11_101-11/2024/М</v>
      </c>
      <c r="B512" s="6">
        <v>45601</v>
      </c>
      <c r="C512" s="1" t="str">
        <f>"00155"</f>
        <v>00155</v>
      </c>
      <c r="D512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512" s="1" t="str">
        <f>"03193413"</f>
        <v>03193413</v>
      </c>
      <c r="F51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512" s="1" t="str">
        <f>"Фізична особа"</f>
        <v>Фізична особа</v>
      </c>
      <c r="H512" s="1" t="s">
        <v>20</v>
      </c>
      <c r="I512" s="1" t="s">
        <v>20</v>
      </c>
      <c r="J512" s="1" t="str">
        <f>"Заявника сповіщено про результат"</f>
        <v>Заявника сповіщено про результат</v>
      </c>
      <c r="K512" s="5">
        <v>45653</v>
      </c>
      <c r="L512" s="1" t="s">
        <v>20</v>
      </c>
      <c r="M512" s="1" t="s">
        <v>22</v>
      </c>
      <c r="N512" s="5">
        <v>45653</v>
      </c>
    </row>
    <row r="513" spans="1:14" x14ac:dyDescent="0.3">
      <c r="A513" s="1" t="str">
        <f>"2_1872/2129-11/2024/Р"</f>
        <v>2_1872/2129-11/2024/Р</v>
      </c>
      <c r="B513" s="6">
        <v>45601</v>
      </c>
      <c r="C513" s="1" t="str">
        <f>"00041"</f>
        <v>00041</v>
      </c>
      <c r="D513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13" s="1" t="s">
        <v>20</v>
      </c>
      <c r="F5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13" s="1" t="str">
        <f>"Юридична особа"</f>
        <v>Юридична особа</v>
      </c>
      <c r="H513" s="1" t="str">
        <f>"РОГАТИНСЬКА МІСЬКА РАДА"</f>
        <v>РОГАТИНСЬКА МІСЬКА РАДА</v>
      </c>
      <c r="I513" s="1" t="str">
        <f>"04054323"</f>
        <v>04054323</v>
      </c>
      <c r="J513" s="1" t="str">
        <f>"Закрито"</f>
        <v>Закрито</v>
      </c>
      <c r="K513" s="5">
        <v>45601</v>
      </c>
      <c r="L513" s="1" t="s">
        <v>20</v>
      </c>
      <c r="M513" s="1" t="s">
        <v>22</v>
      </c>
      <c r="N513" s="5">
        <v>45601</v>
      </c>
    </row>
    <row r="514" spans="1:14" x14ac:dyDescent="0.3">
      <c r="A514" s="1" t="str">
        <f>"2_1873/2129-11/2024/Р"</f>
        <v>2_1873/2129-11/2024/Р</v>
      </c>
      <c r="B514" s="6">
        <v>45601</v>
      </c>
      <c r="C514" s="1" t="str">
        <f>"00041"</f>
        <v>00041</v>
      </c>
      <c r="D51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14" s="1" t="s">
        <v>20</v>
      </c>
      <c r="F51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14" s="1" t="str">
        <f>"Юридична особа"</f>
        <v>Юридична особа</v>
      </c>
      <c r="H514" s="1" t="str">
        <f>"РОГАТИНСЬКА МІСЬКА РАДА"</f>
        <v>РОГАТИНСЬКА МІСЬКА РАДА</v>
      </c>
      <c r="I514" s="1" t="str">
        <f>"04054323"</f>
        <v>04054323</v>
      </c>
      <c r="J514" s="1" t="str">
        <f>"Закрито"</f>
        <v>Закрито</v>
      </c>
      <c r="K514" s="5">
        <v>45601</v>
      </c>
      <c r="L514" s="1" t="s">
        <v>20</v>
      </c>
      <c r="M514" s="1" t="s">
        <v>22</v>
      </c>
      <c r="N514" s="5">
        <v>45601</v>
      </c>
    </row>
    <row r="515" spans="1:14" x14ac:dyDescent="0.3">
      <c r="A515" s="1" t="str">
        <f>"2_1874/2129-11/2024/Р"</f>
        <v>2_1874/2129-11/2024/Р</v>
      </c>
      <c r="B515" s="6">
        <v>45601</v>
      </c>
      <c r="C515" s="1" t="str">
        <f>"00041"</f>
        <v>00041</v>
      </c>
      <c r="D51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15" s="1" t="s">
        <v>20</v>
      </c>
      <c r="F51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15" s="1" t="str">
        <f>"Юридична особа"</f>
        <v>Юридична особа</v>
      </c>
      <c r="H515" s="1" t="str">
        <f>"РОГАТИНСЬКА МІСЬКА РАДА"</f>
        <v>РОГАТИНСЬКА МІСЬКА РАДА</v>
      </c>
      <c r="I515" s="1" t="str">
        <f>"04054323"</f>
        <v>04054323</v>
      </c>
      <c r="J515" s="1" t="str">
        <f>"Закрито"</f>
        <v>Закрито</v>
      </c>
      <c r="K515" s="5">
        <v>45601</v>
      </c>
      <c r="L515" s="1" t="s">
        <v>20</v>
      </c>
      <c r="M515" s="1" t="s">
        <v>22</v>
      </c>
      <c r="N515" s="5">
        <v>45601</v>
      </c>
    </row>
    <row r="516" spans="1:14" x14ac:dyDescent="0.3">
      <c r="A516" s="1" t="str">
        <f>"2_1875/2129-11/2024/Р"</f>
        <v>2_1875/2129-11/2024/Р</v>
      </c>
      <c r="B516" s="6">
        <v>45601</v>
      </c>
      <c r="C516" s="1" t="str">
        <f>"00041"</f>
        <v>00041</v>
      </c>
      <c r="D51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16" s="1" t="s">
        <v>20</v>
      </c>
      <c r="F51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16" s="1" t="str">
        <f>"Юридична особа"</f>
        <v>Юридична особа</v>
      </c>
      <c r="H516" s="1" t="str">
        <f>"РОГАТИНСЬКА МІСЬКА РАДА"</f>
        <v>РОГАТИНСЬКА МІСЬКА РАДА</v>
      </c>
      <c r="I516" s="1" t="str">
        <f>"04054323"</f>
        <v>04054323</v>
      </c>
      <c r="J516" s="1" t="str">
        <f>"Закрито"</f>
        <v>Закрито</v>
      </c>
      <c r="K516" s="5">
        <v>45601</v>
      </c>
      <c r="L516" s="1" t="s">
        <v>20</v>
      </c>
      <c r="M516" s="1" t="s">
        <v>22</v>
      </c>
      <c r="N516" s="5">
        <v>45601</v>
      </c>
    </row>
    <row r="517" spans="1:14" x14ac:dyDescent="0.3">
      <c r="A517" s="1" t="str">
        <f>"3_1328/4-11/2024/ц"</f>
        <v>3_1328/4-11/2024/ц</v>
      </c>
      <c r="B517" s="6">
        <v>45601</v>
      </c>
      <c r="C517" s="1" t="str">
        <f>"00060"</f>
        <v>00060</v>
      </c>
      <c r="D517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517" s="1" t="s">
        <v>20</v>
      </c>
      <c r="F517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517" s="1" t="str">
        <f>"Фізична особа"</f>
        <v>Фізична особа</v>
      </c>
      <c r="H517" s="1" t="s">
        <v>20</v>
      </c>
      <c r="I517" s="1" t="s">
        <v>20</v>
      </c>
      <c r="J517" s="1" t="str">
        <f>"Результат підготовлено СНАП"</f>
        <v>Результат підготовлено СНАП</v>
      </c>
      <c r="K517" s="5">
        <v>45614</v>
      </c>
      <c r="L517" s="1" t="str">
        <f>"151.4"</f>
        <v>151.4</v>
      </c>
      <c r="M517" s="1" t="s">
        <v>22</v>
      </c>
      <c r="N517" s="1" t="s">
        <v>20</v>
      </c>
    </row>
    <row r="518" spans="1:14" x14ac:dyDescent="0.3">
      <c r="A518" s="1" t="str">
        <f>"2_1876/2129-11/2024/Р"</f>
        <v>2_1876/2129-11/2024/Р</v>
      </c>
      <c r="B518" s="6">
        <v>45601</v>
      </c>
      <c r="C518" s="1" t="str">
        <f>"00041"</f>
        <v>00041</v>
      </c>
      <c r="D51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18" s="1" t="s">
        <v>20</v>
      </c>
      <c r="F5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18" s="1" t="str">
        <f>"Юридична особа"</f>
        <v>Юридична особа</v>
      </c>
      <c r="H518" s="1" t="str">
        <f>"РОГАТИНСЬКА МІСЬКА РАДА"</f>
        <v>РОГАТИНСЬКА МІСЬКА РАДА</v>
      </c>
      <c r="I518" s="1" t="str">
        <f>"04054323"</f>
        <v>04054323</v>
      </c>
      <c r="J518" s="1" t="str">
        <f t="shared" ref="J518:J526" si="75">"Закрито"</f>
        <v>Закрито</v>
      </c>
      <c r="K518" s="5">
        <v>45601</v>
      </c>
      <c r="L518" s="1" t="s">
        <v>20</v>
      </c>
      <c r="M518" s="1" t="s">
        <v>22</v>
      </c>
      <c r="N518" s="5">
        <v>45601</v>
      </c>
    </row>
    <row r="519" spans="1:14" x14ac:dyDescent="0.3">
      <c r="A519" s="1" t="str">
        <f>"2_1877/2129-11/2024/М"</f>
        <v>2_1877/2129-11/2024/М</v>
      </c>
      <c r="B519" s="6">
        <v>45601</v>
      </c>
      <c r="C519" s="1" t="str">
        <f>"00041"</f>
        <v>00041</v>
      </c>
      <c r="D51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19" s="1" t="s">
        <v>20</v>
      </c>
      <c r="F51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19" s="1" t="str">
        <f t="shared" ref="G519:G527" si="76">"Фізична особа"</f>
        <v>Фізична особа</v>
      </c>
      <c r="H519" s="1" t="s">
        <v>20</v>
      </c>
      <c r="I519" s="1" t="s">
        <v>20</v>
      </c>
      <c r="J519" s="1" t="str">
        <f t="shared" si="75"/>
        <v>Закрито</v>
      </c>
      <c r="K519" s="5">
        <v>45602</v>
      </c>
      <c r="L519" s="1" t="s">
        <v>20</v>
      </c>
      <c r="M519" s="1" t="s">
        <v>22</v>
      </c>
      <c r="N519" s="5">
        <v>45602</v>
      </c>
    </row>
    <row r="520" spans="1:14" x14ac:dyDescent="0.3">
      <c r="A520" s="1" t="str">
        <f>"9_1591/04054323-11/2024/С"</f>
        <v>9_1591/04054323-11/2024/С</v>
      </c>
      <c r="B520" s="6">
        <v>45601</v>
      </c>
      <c r="C520" s="1" t="str">
        <f>"01-2"</f>
        <v>01-2</v>
      </c>
      <c r="D520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виробництва"</f>
        <v>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</v>
      </c>
      <c r="E520" s="1" t="str">
        <f>"04054323"</f>
        <v>04054323</v>
      </c>
      <c r="F520" s="1" t="str">
        <f>"Рогатинська міська рада"</f>
        <v>Рогатинська міська рада</v>
      </c>
      <c r="G520" s="1" t="str">
        <f t="shared" si="76"/>
        <v>Фізична особа</v>
      </c>
      <c r="H520" s="1" t="s">
        <v>20</v>
      </c>
      <c r="I520" s="1" t="s">
        <v>20</v>
      </c>
      <c r="J520" s="1" t="str">
        <f t="shared" si="75"/>
        <v>Закрито</v>
      </c>
      <c r="K520" s="5">
        <v>45637</v>
      </c>
      <c r="L520" s="1" t="s">
        <v>20</v>
      </c>
      <c r="M520" s="1" t="s">
        <v>22</v>
      </c>
      <c r="N520" s="5">
        <v>45637</v>
      </c>
    </row>
    <row r="521" spans="1:14" x14ac:dyDescent="0.3">
      <c r="A521" s="1" t="str">
        <f>"2_1878/2129-11/2024/М"</f>
        <v>2_1878/2129-11/2024/М</v>
      </c>
      <c r="B521" s="6">
        <v>45601</v>
      </c>
      <c r="C521" s="1" t="str">
        <f>"00041"</f>
        <v>00041</v>
      </c>
      <c r="D52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21" s="1" t="s">
        <v>20</v>
      </c>
      <c r="F52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21" s="1" t="str">
        <f t="shared" si="76"/>
        <v>Фізична особа</v>
      </c>
      <c r="H521" s="1" t="s">
        <v>20</v>
      </c>
      <c r="I521" s="1" t="s">
        <v>20</v>
      </c>
      <c r="J521" s="1" t="str">
        <f t="shared" si="75"/>
        <v>Закрито</v>
      </c>
      <c r="K521" s="5">
        <v>45602</v>
      </c>
      <c r="L521" s="1" t="s">
        <v>20</v>
      </c>
      <c r="M521" s="1" t="s">
        <v>22</v>
      </c>
      <c r="N521" s="5">
        <v>45602</v>
      </c>
    </row>
    <row r="522" spans="1:14" x14ac:dyDescent="0.3">
      <c r="A522" s="1" t="str">
        <f>"2_1879/2129-11/2024/Р"</f>
        <v>2_1879/2129-11/2024/Р</v>
      </c>
      <c r="B522" s="6">
        <v>45601</v>
      </c>
      <c r="C522" s="1" t="str">
        <f>"00041"</f>
        <v>00041</v>
      </c>
      <c r="D52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22" s="1" t="s">
        <v>20</v>
      </c>
      <c r="F52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22" s="1" t="str">
        <f t="shared" si="76"/>
        <v>Фізична особа</v>
      </c>
      <c r="H522" s="1" t="s">
        <v>20</v>
      </c>
      <c r="I522" s="1" t="s">
        <v>20</v>
      </c>
      <c r="J522" s="1" t="str">
        <f t="shared" si="75"/>
        <v>Закрито</v>
      </c>
      <c r="K522" s="5">
        <v>45602</v>
      </c>
      <c r="L522" s="1" t="s">
        <v>20</v>
      </c>
      <c r="M522" s="1" t="s">
        <v>22</v>
      </c>
      <c r="N522" s="5">
        <v>45602</v>
      </c>
    </row>
    <row r="523" spans="1:14" x14ac:dyDescent="0.3">
      <c r="A523" s="1" t="str">
        <f>"3_823-11/2024/К"</f>
        <v>3_823-11/2024/К</v>
      </c>
      <c r="B523" s="6">
        <v>45601</v>
      </c>
      <c r="C523" s="1" t="str">
        <f>"00038"</f>
        <v>00038</v>
      </c>
      <c r="D52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23" s="1" t="s">
        <v>20</v>
      </c>
      <c r="F5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23" s="1" t="str">
        <f t="shared" si="76"/>
        <v>Фізична особа</v>
      </c>
      <c r="H523" s="1" t="s">
        <v>20</v>
      </c>
      <c r="I523" s="1" t="s">
        <v>20</v>
      </c>
      <c r="J523" s="1" t="str">
        <f t="shared" si="75"/>
        <v>Закрито</v>
      </c>
      <c r="K523" s="5">
        <v>45601</v>
      </c>
      <c r="L523" s="1" t="s">
        <v>20</v>
      </c>
      <c r="M523" s="1" t="s">
        <v>22</v>
      </c>
      <c r="N523" s="5">
        <v>45601</v>
      </c>
    </row>
    <row r="524" spans="1:14" x14ac:dyDescent="0.3">
      <c r="A524" s="1" t="str">
        <f>"28_631-11/2024/Г"</f>
        <v>28_631-11/2024/Г</v>
      </c>
      <c r="B524" s="6">
        <v>45601</v>
      </c>
      <c r="C524" s="1" t="str">
        <f>"00038"</f>
        <v>00038</v>
      </c>
      <c r="D52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24" s="1" t="s">
        <v>20</v>
      </c>
      <c r="F5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24" s="1" t="str">
        <f t="shared" si="76"/>
        <v>Фізична особа</v>
      </c>
      <c r="H524" s="1" t="s">
        <v>20</v>
      </c>
      <c r="I524" s="1" t="s">
        <v>20</v>
      </c>
      <c r="J524" s="1" t="str">
        <f t="shared" si="75"/>
        <v>Закрито</v>
      </c>
      <c r="K524" s="5">
        <v>45601</v>
      </c>
      <c r="L524" s="1" t="s">
        <v>20</v>
      </c>
      <c r="M524" s="1" t="s">
        <v>22</v>
      </c>
      <c r="N524" s="5">
        <v>45601</v>
      </c>
    </row>
    <row r="525" spans="1:14" x14ac:dyDescent="0.3">
      <c r="A525" s="1" t="str">
        <f>"2_1880/2129-11/2024/Л"</f>
        <v>2_1880/2129-11/2024/Л</v>
      </c>
      <c r="B525" s="6">
        <v>45601</v>
      </c>
      <c r="C525" s="1" t="str">
        <f>"00041"</f>
        <v>00041</v>
      </c>
      <c r="D52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25" s="1" t="s">
        <v>20</v>
      </c>
      <c r="F52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25" s="1" t="str">
        <f t="shared" si="76"/>
        <v>Фізична особа</v>
      </c>
      <c r="H525" s="1" t="s">
        <v>20</v>
      </c>
      <c r="I525" s="1" t="s">
        <v>20</v>
      </c>
      <c r="J525" s="1" t="str">
        <f t="shared" si="75"/>
        <v>Закрито</v>
      </c>
      <c r="K525" s="5">
        <v>45602</v>
      </c>
      <c r="L525" s="1" t="s">
        <v>20</v>
      </c>
      <c r="M525" s="1" t="s">
        <v>22</v>
      </c>
      <c r="N525" s="5">
        <v>45602</v>
      </c>
    </row>
    <row r="526" spans="1:14" x14ac:dyDescent="0.3">
      <c r="A526" s="1" t="str">
        <f>"28_632-11/2024/Г"</f>
        <v>28_632-11/2024/Г</v>
      </c>
      <c r="B526" s="6">
        <v>45601</v>
      </c>
      <c r="C526" s="1" t="str">
        <f>"00133"</f>
        <v>00133</v>
      </c>
      <c r="D526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526" s="1" t="str">
        <f>"03193413"</f>
        <v>03193413</v>
      </c>
      <c r="F52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526" s="1" t="str">
        <f t="shared" si="76"/>
        <v>Фізична особа</v>
      </c>
      <c r="H526" s="1" t="s">
        <v>20</v>
      </c>
      <c r="I526" s="1" t="s">
        <v>20</v>
      </c>
      <c r="J526" s="1" t="str">
        <f t="shared" si="75"/>
        <v>Закрито</v>
      </c>
      <c r="K526" s="5">
        <v>45624</v>
      </c>
      <c r="L526" s="1" t="s">
        <v>20</v>
      </c>
      <c r="M526" s="1" t="s">
        <v>22</v>
      </c>
      <c r="N526" s="5">
        <v>45624</v>
      </c>
    </row>
    <row r="527" spans="1:14" x14ac:dyDescent="0.3">
      <c r="A527" s="1" t="str">
        <f>"3_1329/4-11/2024/Ц"</f>
        <v>3_1329/4-11/2024/Ц</v>
      </c>
      <c r="B527" s="6">
        <v>45601</v>
      </c>
      <c r="C527" s="1" t="str">
        <f>"00060"</f>
        <v>00060</v>
      </c>
      <c r="D527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527" s="1" t="s">
        <v>20</v>
      </c>
      <c r="F527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527" s="1" t="str">
        <f t="shared" si="76"/>
        <v>Фізична особа</v>
      </c>
      <c r="H527" s="1" t="s">
        <v>20</v>
      </c>
      <c r="I527" s="1" t="s">
        <v>20</v>
      </c>
      <c r="J527" s="1" t="str">
        <f>"Результат підготовлено СНАП"</f>
        <v>Результат підготовлено СНАП</v>
      </c>
      <c r="K527" s="5">
        <v>45614</v>
      </c>
      <c r="L527" s="1" t="str">
        <f>"151.4"</f>
        <v>151.4</v>
      </c>
      <c r="M527" s="1" t="s">
        <v>22</v>
      </c>
      <c r="N527" s="1" t="s">
        <v>20</v>
      </c>
    </row>
    <row r="528" spans="1:14" x14ac:dyDescent="0.3">
      <c r="A528" s="1" t="str">
        <f>"2_1881/2129-11/2024/Р"</f>
        <v>2_1881/2129-11/2024/Р</v>
      </c>
      <c r="B528" s="6">
        <v>45601</v>
      </c>
      <c r="C528" s="1" t="str">
        <f t="shared" ref="C528:C535" si="77">"00041"</f>
        <v>00041</v>
      </c>
      <c r="D528" s="2" t="str">
        <f t="shared" ref="D528:D535" si="78"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28" s="1" t="s">
        <v>20</v>
      </c>
      <c r="F528" s="1" t="str">
        <f t="shared" ref="F528:F537" si="79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28" s="1" t="str">
        <f t="shared" ref="G528:G535" si="80">"Юридична особа"</f>
        <v>Юридична особа</v>
      </c>
      <c r="H528" s="1" t="str">
        <f t="shared" ref="H528:H535" si="81">"РОГАТИНСЬКА МІСЬКА РАДА"</f>
        <v>РОГАТИНСЬКА МІСЬКА РАДА</v>
      </c>
      <c r="I528" s="1" t="str">
        <f t="shared" ref="I528:I535" si="82">"04054323"</f>
        <v>04054323</v>
      </c>
      <c r="J528" s="1" t="str">
        <f t="shared" ref="J528:J537" si="83">"Закрито"</f>
        <v>Закрито</v>
      </c>
      <c r="K528" s="5">
        <v>45601</v>
      </c>
      <c r="L528" s="1" t="s">
        <v>20</v>
      </c>
      <c r="M528" s="1" t="s">
        <v>22</v>
      </c>
      <c r="N528" s="5">
        <v>45601</v>
      </c>
    </row>
    <row r="529" spans="1:14" x14ac:dyDescent="0.3">
      <c r="A529" s="1" t="str">
        <f>"2_1882/2129-11/2024/Р"</f>
        <v>2_1882/2129-11/2024/Р</v>
      </c>
      <c r="B529" s="6">
        <v>45601</v>
      </c>
      <c r="C529" s="1" t="str">
        <f t="shared" si="77"/>
        <v>00041</v>
      </c>
      <c r="D529" s="2" t="str">
        <f t="shared" si="78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29" s="1" t="s">
        <v>20</v>
      </c>
      <c r="F529" s="1" t="str">
        <f t="shared" si="79"/>
        <v>Центр надання адміністративних послуг Рогатинської міської ради</v>
      </c>
      <c r="G529" s="1" t="str">
        <f t="shared" si="80"/>
        <v>Юридична особа</v>
      </c>
      <c r="H529" s="1" t="str">
        <f t="shared" si="81"/>
        <v>РОГАТИНСЬКА МІСЬКА РАДА</v>
      </c>
      <c r="I529" s="1" t="str">
        <f t="shared" si="82"/>
        <v>04054323</v>
      </c>
      <c r="J529" s="1" t="str">
        <f t="shared" si="83"/>
        <v>Закрито</v>
      </c>
      <c r="K529" s="5">
        <v>45601</v>
      </c>
      <c r="L529" s="1" t="s">
        <v>20</v>
      </c>
      <c r="M529" s="1" t="s">
        <v>22</v>
      </c>
      <c r="N529" s="5">
        <v>45601</v>
      </c>
    </row>
    <row r="530" spans="1:14" x14ac:dyDescent="0.3">
      <c r="A530" s="1" t="str">
        <f>"2_1883/2129-11/2024/Р"</f>
        <v>2_1883/2129-11/2024/Р</v>
      </c>
      <c r="B530" s="6">
        <v>45601</v>
      </c>
      <c r="C530" s="1" t="str">
        <f t="shared" si="77"/>
        <v>00041</v>
      </c>
      <c r="D530" s="2" t="str">
        <f t="shared" si="78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30" s="1" t="s">
        <v>20</v>
      </c>
      <c r="F530" s="1" t="str">
        <f t="shared" si="79"/>
        <v>Центр надання адміністративних послуг Рогатинської міської ради</v>
      </c>
      <c r="G530" s="1" t="str">
        <f t="shared" si="80"/>
        <v>Юридична особа</v>
      </c>
      <c r="H530" s="1" t="str">
        <f t="shared" si="81"/>
        <v>РОГАТИНСЬКА МІСЬКА РАДА</v>
      </c>
      <c r="I530" s="1" t="str">
        <f t="shared" si="82"/>
        <v>04054323</v>
      </c>
      <c r="J530" s="1" t="str">
        <f t="shared" si="83"/>
        <v>Закрито</v>
      </c>
      <c r="K530" s="5">
        <v>45601</v>
      </c>
      <c r="L530" s="1" t="s">
        <v>20</v>
      </c>
      <c r="M530" s="1" t="s">
        <v>22</v>
      </c>
      <c r="N530" s="5">
        <v>45601</v>
      </c>
    </row>
    <row r="531" spans="1:14" x14ac:dyDescent="0.3">
      <c r="A531" s="1" t="str">
        <f>"2_1884/2129-11/2024/Р"</f>
        <v>2_1884/2129-11/2024/Р</v>
      </c>
      <c r="B531" s="6">
        <v>45601</v>
      </c>
      <c r="C531" s="1" t="str">
        <f t="shared" si="77"/>
        <v>00041</v>
      </c>
      <c r="D531" s="2" t="str">
        <f t="shared" si="78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31" s="1" t="s">
        <v>20</v>
      </c>
      <c r="F531" s="1" t="str">
        <f t="shared" si="79"/>
        <v>Центр надання адміністративних послуг Рогатинської міської ради</v>
      </c>
      <c r="G531" s="1" t="str">
        <f t="shared" si="80"/>
        <v>Юридична особа</v>
      </c>
      <c r="H531" s="1" t="str">
        <f t="shared" si="81"/>
        <v>РОГАТИНСЬКА МІСЬКА РАДА</v>
      </c>
      <c r="I531" s="1" t="str">
        <f t="shared" si="82"/>
        <v>04054323</v>
      </c>
      <c r="J531" s="1" t="str">
        <f t="shared" si="83"/>
        <v>Закрито</v>
      </c>
      <c r="K531" s="5">
        <v>45601</v>
      </c>
      <c r="L531" s="1" t="s">
        <v>20</v>
      </c>
      <c r="M531" s="1" t="s">
        <v>22</v>
      </c>
      <c r="N531" s="5">
        <v>45601</v>
      </c>
    </row>
    <row r="532" spans="1:14" x14ac:dyDescent="0.3">
      <c r="A532" s="1" t="str">
        <f>"2_1885/2129-11/2024/Р"</f>
        <v>2_1885/2129-11/2024/Р</v>
      </c>
      <c r="B532" s="6">
        <v>45601</v>
      </c>
      <c r="C532" s="1" t="str">
        <f t="shared" si="77"/>
        <v>00041</v>
      </c>
      <c r="D532" s="2" t="str">
        <f t="shared" si="78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32" s="1" t="s">
        <v>20</v>
      </c>
      <c r="F532" s="1" t="str">
        <f t="shared" si="79"/>
        <v>Центр надання адміністративних послуг Рогатинської міської ради</v>
      </c>
      <c r="G532" s="1" t="str">
        <f t="shared" si="80"/>
        <v>Юридична особа</v>
      </c>
      <c r="H532" s="1" t="str">
        <f t="shared" si="81"/>
        <v>РОГАТИНСЬКА МІСЬКА РАДА</v>
      </c>
      <c r="I532" s="1" t="str">
        <f t="shared" si="82"/>
        <v>04054323</v>
      </c>
      <c r="J532" s="1" t="str">
        <f t="shared" si="83"/>
        <v>Закрито</v>
      </c>
      <c r="K532" s="5">
        <v>45601</v>
      </c>
      <c r="L532" s="1" t="s">
        <v>20</v>
      </c>
      <c r="M532" s="1" t="s">
        <v>22</v>
      </c>
      <c r="N532" s="5">
        <v>45601</v>
      </c>
    </row>
    <row r="533" spans="1:14" x14ac:dyDescent="0.3">
      <c r="A533" s="1" t="str">
        <f>"2_1886/2129-11/2024/Р"</f>
        <v>2_1886/2129-11/2024/Р</v>
      </c>
      <c r="B533" s="6">
        <v>45601</v>
      </c>
      <c r="C533" s="1" t="str">
        <f t="shared" si="77"/>
        <v>00041</v>
      </c>
      <c r="D533" s="2" t="str">
        <f t="shared" si="78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33" s="1" t="s">
        <v>20</v>
      </c>
      <c r="F533" s="1" t="str">
        <f t="shared" si="79"/>
        <v>Центр надання адміністративних послуг Рогатинської міської ради</v>
      </c>
      <c r="G533" s="1" t="str">
        <f t="shared" si="80"/>
        <v>Юридична особа</v>
      </c>
      <c r="H533" s="1" t="str">
        <f t="shared" si="81"/>
        <v>РОГАТИНСЬКА МІСЬКА РАДА</v>
      </c>
      <c r="I533" s="1" t="str">
        <f t="shared" si="82"/>
        <v>04054323</v>
      </c>
      <c r="J533" s="1" t="str">
        <f t="shared" si="83"/>
        <v>Закрито</v>
      </c>
      <c r="K533" s="5">
        <v>45601</v>
      </c>
      <c r="L533" s="1" t="s">
        <v>20</v>
      </c>
      <c r="M533" s="1" t="s">
        <v>22</v>
      </c>
      <c r="N533" s="5">
        <v>45601</v>
      </c>
    </row>
    <row r="534" spans="1:14" x14ac:dyDescent="0.3">
      <c r="A534" s="1" t="str">
        <f>"2_1887/2129-11/2024/Р"</f>
        <v>2_1887/2129-11/2024/Р</v>
      </c>
      <c r="B534" s="6">
        <v>45601</v>
      </c>
      <c r="C534" s="1" t="str">
        <f t="shared" si="77"/>
        <v>00041</v>
      </c>
      <c r="D534" s="2" t="str">
        <f t="shared" si="78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34" s="1" t="s">
        <v>20</v>
      </c>
      <c r="F534" s="1" t="str">
        <f t="shared" si="79"/>
        <v>Центр надання адміністративних послуг Рогатинської міської ради</v>
      </c>
      <c r="G534" s="1" t="str">
        <f t="shared" si="80"/>
        <v>Юридична особа</v>
      </c>
      <c r="H534" s="1" t="str">
        <f t="shared" si="81"/>
        <v>РОГАТИНСЬКА МІСЬКА РАДА</v>
      </c>
      <c r="I534" s="1" t="str">
        <f t="shared" si="82"/>
        <v>04054323</v>
      </c>
      <c r="J534" s="1" t="str">
        <f t="shared" si="83"/>
        <v>Закрито</v>
      </c>
      <c r="K534" s="5">
        <v>45601</v>
      </c>
      <c r="L534" s="1" t="s">
        <v>20</v>
      </c>
      <c r="M534" s="1" t="s">
        <v>22</v>
      </c>
      <c r="N534" s="5">
        <v>45601</v>
      </c>
    </row>
    <row r="535" spans="1:14" x14ac:dyDescent="0.3">
      <c r="A535" s="1" t="str">
        <f>"2_1888/2129-11/2024/Р"</f>
        <v>2_1888/2129-11/2024/Р</v>
      </c>
      <c r="B535" s="6">
        <v>45601</v>
      </c>
      <c r="C535" s="1" t="str">
        <f t="shared" si="77"/>
        <v>00041</v>
      </c>
      <c r="D535" s="2" t="str">
        <f t="shared" si="78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35" s="1" t="s">
        <v>20</v>
      </c>
      <c r="F535" s="1" t="str">
        <f t="shared" si="79"/>
        <v>Центр надання адміністративних послуг Рогатинської міської ради</v>
      </c>
      <c r="G535" s="1" t="str">
        <f t="shared" si="80"/>
        <v>Юридична особа</v>
      </c>
      <c r="H535" s="1" t="str">
        <f t="shared" si="81"/>
        <v>РОГАТИНСЬКА МІСЬКА РАДА</v>
      </c>
      <c r="I535" s="1" t="str">
        <f t="shared" si="82"/>
        <v>04054323</v>
      </c>
      <c r="J535" s="1" t="str">
        <f t="shared" si="83"/>
        <v>Закрито</v>
      </c>
      <c r="K535" s="5">
        <v>45601</v>
      </c>
      <c r="L535" s="1" t="s">
        <v>20</v>
      </c>
      <c r="M535" s="1" t="s">
        <v>22</v>
      </c>
      <c r="N535" s="5">
        <v>45601</v>
      </c>
    </row>
    <row r="536" spans="1:14" x14ac:dyDescent="0.3">
      <c r="A536" s="1" t="str">
        <f>"26_353-11/2024/С"</f>
        <v>26_353-11/2024/С</v>
      </c>
      <c r="B536" s="6">
        <v>45601</v>
      </c>
      <c r="C536" s="1" t="str">
        <f>"00037"</f>
        <v>00037</v>
      </c>
      <c r="D536" s="2" t="str">
        <f>"Зняття з реєстрації місця проживання"</f>
        <v>Зняття з реєстрації місця проживання</v>
      </c>
      <c r="E536" s="1" t="s">
        <v>20</v>
      </c>
      <c r="F536" s="1" t="str">
        <f t="shared" si="79"/>
        <v>Центр надання адміністративних послуг Рогатинської міської ради</v>
      </c>
      <c r="G536" s="1" t="str">
        <f t="shared" ref="G536:G557" si="84">"Фізична особа"</f>
        <v>Фізична особа</v>
      </c>
      <c r="H536" s="1" t="s">
        <v>20</v>
      </c>
      <c r="I536" s="1" t="s">
        <v>20</v>
      </c>
      <c r="J536" s="1" t="str">
        <f t="shared" si="83"/>
        <v>Закрито</v>
      </c>
      <c r="K536" s="5">
        <v>45601</v>
      </c>
      <c r="L536" s="1" t="s">
        <v>20</v>
      </c>
      <c r="M536" s="1" t="s">
        <v>22</v>
      </c>
      <c r="N536" s="5">
        <v>45601</v>
      </c>
    </row>
    <row r="537" spans="1:14" x14ac:dyDescent="0.3">
      <c r="A537" s="1" t="str">
        <f>"26_354-11/2024/Г"</f>
        <v>26_354-11/2024/Г</v>
      </c>
      <c r="B537" s="6">
        <v>45601</v>
      </c>
      <c r="C537" s="1" t="str">
        <f>"00037"</f>
        <v>00037</v>
      </c>
      <c r="D537" s="2" t="str">
        <f>"Зняття з реєстрації місця проживання"</f>
        <v>Зняття з реєстрації місця проживання</v>
      </c>
      <c r="E537" s="1" t="s">
        <v>20</v>
      </c>
      <c r="F537" s="1" t="str">
        <f t="shared" si="79"/>
        <v>Центр надання адміністративних послуг Рогатинської міської ради</v>
      </c>
      <c r="G537" s="1" t="str">
        <f t="shared" si="84"/>
        <v>Фізична особа</v>
      </c>
      <c r="H537" s="1" t="s">
        <v>20</v>
      </c>
      <c r="I537" s="1" t="s">
        <v>20</v>
      </c>
      <c r="J537" s="1" t="str">
        <f t="shared" si="83"/>
        <v>Закрито</v>
      </c>
      <c r="K537" s="5">
        <v>45601</v>
      </c>
      <c r="L537" s="1" t="s">
        <v>20</v>
      </c>
      <c r="M537" s="1" t="s">
        <v>22</v>
      </c>
      <c r="N537" s="5">
        <v>45601</v>
      </c>
    </row>
    <row r="538" spans="1:14" x14ac:dyDescent="0.3">
      <c r="A538" s="1" t="str">
        <f>"14_949-11/2024/Б"</f>
        <v>14_949-11/2024/Б</v>
      </c>
      <c r="B538" s="6">
        <v>45601</v>
      </c>
      <c r="C538" s="1" t="str">
        <f>"00133"</f>
        <v>00133</v>
      </c>
      <c r="D538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538" s="1" t="str">
        <f>"03193413"</f>
        <v>03193413</v>
      </c>
      <c r="F53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538" s="1" t="str">
        <f t="shared" si="84"/>
        <v>Фізична особа</v>
      </c>
      <c r="H538" s="1" t="s">
        <v>20</v>
      </c>
      <c r="I538" s="1" t="s">
        <v>20</v>
      </c>
      <c r="J538" s="1" t="str">
        <f>"На обробці в СНАП"</f>
        <v>На обробці в СНАП</v>
      </c>
      <c r="K538" s="1" t="s">
        <v>20</v>
      </c>
      <c r="L538" s="1" t="s">
        <v>20</v>
      </c>
      <c r="M538" s="1" t="s">
        <v>22</v>
      </c>
      <c r="N538" s="1" t="s">
        <v>20</v>
      </c>
    </row>
    <row r="539" spans="1:14" x14ac:dyDescent="0.3">
      <c r="A539" s="1" t="str">
        <f>"26_355-11/2024/О"</f>
        <v>26_355-11/2024/О</v>
      </c>
      <c r="B539" s="6">
        <v>45601</v>
      </c>
      <c r="C539" s="1" t="str">
        <f>"00038"</f>
        <v>00038</v>
      </c>
      <c r="D53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39" s="1" t="s">
        <v>20</v>
      </c>
      <c r="F53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39" s="1" t="str">
        <f t="shared" si="84"/>
        <v>Фізична особа</v>
      </c>
      <c r="H539" s="1" t="s">
        <v>20</v>
      </c>
      <c r="I539" s="1" t="s">
        <v>20</v>
      </c>
      <c r="J539" s="1" t="str">
        <f t="shared" ref="J539:J556" si="85">"Закрито"</f>
        <v>Закрито</v>
      </c>
      <c r="K539" s="5">
        <v>45601</v>
      </c>
      <c r="L539" s="1" t="s">
        <v>20</v>
      </c>
      <c r="M539" s="1" t="s">
        <v>22</v>
      </c>
      <c r="N539" s="5">
        <v>45601</v>
      </c>
    </row>
    <row r="540" spans="1:14" x14ac:dyDescent="0.3">
      <c r="A540" s="1" t="str">
        <f>"1_5641/2129-11/2024/Б"</f>
        <v>1_5641/2129-11/2024/Б</v>
      </c>
      <c r="B540" s="6">
        <v>45601</v>
      </c>
      <c r="C540" s="1" t="str">
        <f>"33"</f>
        <v>33</v>
      </c>
      <c r="D540" s="2" t="str">
        <f>"33 Довідки різного характеру"</f>
        <v>33 Довідки різного характеру</v>
      </c>
      <c r="E540" s="1" t="s">
        <v>20</v>
      </c>
      <c r="F54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40" s="1" t="str">
        <f t="shared" si="84"/>
        <v>Фізична особа</v>
      </c>
      <c r="H540" s="1" t="s">
        <v>20</v>
      </c>
      <c r="I540" s="1" t="s">
        <v>20</v>
      </c>
      <c r="J540" s="1" t="str">
        <f t="shared" si="85"/>
        <v>Закрито</v>
      </c>
      <c r="K540" s="6">
        <v>45601</v>
      </c>
      <c r="L540" s="1" t="s">
        <v>20</v>
      </c>
      <c r="M540" s="1" t="s">
        <v>22</v>
      </c>
      <c r="N540" s="5">
        <v>45601</v>
      </c>
    </row>
    <row r="541" spans="1:14" x14ac:dyDescent="0.3">
      <c r="A541" s="1" t="str">
        <f>"5_472-11/2024/Х"</f>
        <v>5_472-11/2024/Х</v>
      </c>
      <c r="B541" s="6">
        <v>45601</v>
      </c>
      <c r="C541" s="1" t="str">
        <f>"00038"</f>
        <v>00038</v>
      </c>
      <c r="D54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41" s="1" t="s">
        <v>20</v>
      </c>
      <c r="F54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41" s="1" t="str">
        <f t="shared" si="84"/>
        <v>Фізична особа</v>
      </c>
      <c r="H541" s="1" t="s">
        <v>20</v>
      </c>
      <c r="I541" s="1" t="s">
        <v>20</v>
      </c>
      <c r="J541" s="1" t="str">
        <f t="shared" si="85"/>
        <v>Закрито</v>
      </c>
      <c r="K541" s="5">
        <v>45601</v>
      </c>
      <c r="L541" s="1" t="s">
        <v>20</v>
      </c>
      <c r="M541" s="1" t="s">
        <v>22</v>
      </c>
      <c r="N541" s="5">
        <v>45601</v>
      </c>
    </row>
    <row r="542" spans="1:14" x14ac:dyDescent="0.3">
      <c r="A542" s="1" t="str">
        <f>"2_1889/2129-11/2024/Л"</f>
        <v>2_1889/2129-11/2024/Л</v>
      </c>
      <c r="B542" s="6">
        <v>45601</v>
      </c>
      <c r="C542" s="1" t="str">
        <f>"00041"</f>
        <v>00041</v>
      </c>
      <c r="D54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42" s="1" t="s">
        <v>20</v>
      </c>
      <c r="F54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42" s="1" t="str">
        <f t="shared" si="84"/>
        <v>Фізична особа</v>
      </c>
      <c r="H542" s="1" t="s">
        <v>20</v>
      </c>
      <c r="I542" s="1" t="s">
        <v>20</v>
      </c>
      <c r="J542" s="1" t="str">
        <f t="shared" si="85"/>
        <v>Закрито</v>
      </c>
      <c r="K542" s="5">
        <v>45602</v>
      </c>
      <c r="L542" s="1" t="s">
        <v>20</v>
      </c>
      <c r="M542" s="1" t="s">
        <v>22</v>
      </c>
      <c r="N542" s="5">
        <v>45602</v>
      </c>
    </row>
    <row r="543" spans="1:14" x14ac:dyDescent="0.3">
      <c r="A543" s="1" t="str">
        <f>"5_473-11/2024/Х"</f>
        <v>5_473-11/2024/Х</v>
      </c>
      <c r="B543" s="6">
        <v>45601</v>
      </c>
      <c r="C543" s="1" t="str">
        <f>"01298"</f>
        <v>01298</v>
      </c>
      <c r="D543" s="2" t="str">
        <f>"Видача довідки про реєстрацію місця проживання померлого,  у тому числі про поживаючих разом з померлим за однією адресою"</f>
        <v>Видача довідки про реєстрацію місця проживання померлого,  у тому числі про поживаючих разом з померлим за однією адресою</v>
      </c>
      <c r="E543" s="1" t="s">
        <v>20</v>
      </c>
      <c r="F54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43" s="1" t="str">
        <f t="shared" si="84"/>
        <v>Фізична особа</v>
      </c>
      <c r="H543" s="1" t="s">
        <v>20</v>
      </c>
      <c r="I543" s="1" t="s">
        <v>20</v>
      </c>
      <c r="J543" s="1" t="str">
        <f t="shared" si="85"/>
        <v>Закрито</v>
      </c>
      <c r="K543" s="5">
        <v>45601</v>
      </c>
      <c r="L543" s="1" t="s">
        <v>20</v>
      </c>
      <c r="M543" s="1" t="s">
        <v>22</v>
      </c>
      <c r="N543" s="5">
        <v>45601</v>
      </c>
    </row>
    <row r="544" spans="1:14" x14ac:dyDescent="0.3">
      <c r="A544" s="1" t="str">
        <f>"6_307/04054323-11/2024/Б"</f>
        <v>6_307/04054323-11/2024/Б</v>
      </c>
      <c r="B544" s="6">
        <v>45601</v>
      </c>
      <c r="C544" s="1" t="str">
        <f>""</f>
        <v/>
      </c>
      <c r="D544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544" s="1" t="str">
        <f>"04054323"</f>
        <v>04054323</v>
      </c>
      <c r="F544" s="1" t="str">
        <f>"Рогатинська міська рада"</f>
        <v>Рогатинська міська рада</v>
      </c>
      <c r="G544" s="1" t="str">
        <f t="shared" si="84"/>
        <v>Фізична особа</v>
      </c>
      <c r="H544" s="1" t="s">
        <v>20</v>
      </c>
      <c r="I544" s="1" t="s">
        <v>20</v>
      </c>
      <c r="J544" s="1" t="str">
        <f t="shared" si="85"/>
        <v>Закрито</v>
      </c>
      <c r="K544" s="5">
        <v>45604</v>
      </c>
      <c r="L544" s="1" t="s">
        <v>20</v>
      </c>
      <c r="M544" s="1" t="s">
        <v>22</v>
      </c>
      <c r="N544" s="5">
        <v>45604</v>
      </c>
    </row>
    <row r="545" spans="1:14" x14ac:dyDescent="0.3">
      <c r="A545" s="1" t="str">
        <f>"8_517-11/2024/Ф"</f>
        <v>8_517-11/2024/Ф</v>
      </c>
      <c r="B545" s="6">
        <v>45601</v>
      </c>
      <c r="C545" s="1" t="str">
        <f>"33"</f>
        <v>33</v>
      </c>
      <c r="D545" s="2" t="str">
        <f>"33 Довідки різного характеру"</f>
        <v>33 Довідки різного характеру</v>
      </c>
      <c r="E545" s="1" t="s">
        <v>20</v>
      </c>
      <c r="F54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45" s="1" t="str">
        <f t="shared" si="84"/>
        <v>Фізична особа</v>
      </c>
      <c r="H545" s="1" t="s">
        <v>20</v>
      </c>
      <c r="I545" s="1" t="s">
        <v>20</v>
      </c>
      <c r="J545" s="1" t="str">
        <f t="shared" si="85"/>
        <v>Закрито</v>
      </c>
      <c r="K545" s="5">
        <v>45601</v>
      </c>
      <c r="L545" s="1" t="s">
        <v>20</v>
      </c>
      <c r="M545" s="1" t="s">
        <v>22</v>
      </c>
      <c r="N545" s="5">
        <v>45601</v>
      </c>
    </row>
    <row r="546" spans="1:14" x14ac:dyDescent="0.3">
      <c r="A546" s="1" t="str">
        <f>"6_308/04054323-11/2024/О"</f>
        <v>6_308/04054323-11/2024/О</v>
      </c>
      <c r="B546" s="6">
        <v>45601</v>
      </c>
      <c r="C546" s="1" t="str">
        <f>""</f>
        <v/>
      </c>
      <c r="D546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546" s="1" t="str">
        <f>"04054323"</f>
        <v>04054323</v>
      </c>
      <c r="F546" s="1" t="str">
        <f>"Рогатинська міська рада"</f>
        <v>Рогатинська міська рада</v>
      </c>
      <c r="G546" s="1" t="str">
        <f t="shared" si="84"/>
        <v>Фізична особа</v>
      </c>
      <c r="H546" s="1" t="s">
        <v>20</v>
      </c>
      <c r="I546" s="1" t="s">
        <v>20</v>
      </c>
      <c r="J546" s="1" t="str">
        <f t="shared" si="85"/>
        <v>Закрито</v>
      </c>
      <c r="K546" s="5">
        <v>45604</v>
      </c>
      <c r="L546" s="1" t="s">
        <v>20</v>
      </c>
      <c r="M546" s="1" t="s">
        <v>22</v>
      </c>
      <c r="N546" s="5">
        <v>45604</v>
      </c>
    </row>
    <row r="547" spans="1:14" x14ac:dyDescent="0.3">
      <c r="A547" s="1" t="str">
        <f>"2_1890/2129-11/2024/К"</f>
        <v>2_1890/2129-11/2024/К</v>
      </c>
      <c r="B547" s="6">
        <v>45601</v>
      </c>
      <c r="C547" s="1" t="str">
        <f>"00041"</f>
        <v>00041</v>
      </c>
      <c r="D54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47" s="1" t="s">
        <v>20</v>
      </c>
      <c r="F54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47" s="1" t="str">
        <f t="shared" si="84"/>
        <v>Фізична особа</v>
      </c>
      <c r="H547" s="1" t="s">
        <v>20</v>
      </c>
      <c r="I547" s="1" t="s">
        <v>20</v>
      </c>
      <c r="J547" s="1" t="str">
        <f t="shared" si="85"/>
        <v>Закрито</v>
      </c>
      <c r="K547" s="5">
        <v>45602</v>
      </c>
      <c r="L547" s="1" t="s">
        <v>20</v>
      </c>
      <c r="M547" s="1" t="s">
        <v>22</v>
      </c>
      <c r="N547" s="5">
        <v>45602</v>
      </c>
    </row>
    <row r="548" spans="1:14" x14ac:dyDescent="0.3">
      <c r="A548" s="1" t="str">
        <f>"6_309/04054323-11/2024/Х"</f>
        <v>6_309/04054323-11/2024/Х</v>
      </c>
      <c r="B548" s="6">
        <v>45601</v>
      </c>
      <c r="C548" s="1" t="str">
        <f>""</f>
        <v/>
      </c>
      <c r="D548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548" s="1" t="str">
        <f>"04054323"</f>
        <v>04054323</v>
      </c>
      <c r="F548" s="1" t="str">
        <f>"Рогатинська міська рада"</f>
        <v>Рогатинська міська рада</v>
      </c>
      <c r="G548" s="1" t="str">
        <f t="shared" si="84"/>
        <v>Фізична особа</v>
      </c>
      <c r="H548" s="1" t="s">
        <v>20</v>
      </c>
      <c r="I548" s="1" t="s">
        <v>20</v>
      </c>
      <c r="J548" s="1" t="str">
        <f t="shared" si="85"/>
        <v>Закрито</v>
      </c>
      <c r="K548" s="5">
        <v>45604</v>
      </c>
      <c r="L548" s="1" t="s">
        <v>20</v>
      </c>
      <c r="M548" s="1" t="s">
        <v>22</v>
      </c>
      <c r="N548" s="5">
        <v>45604</v>
      </c>
    </row>
    <row r="549" spans="1:14" x14ac:dyDescent="0.3">
      <c r="A549" s="1" t="str">
        <f>"2_1891/2129-11/2024/К"</f>
        <v>2_1891/2129-11/2024/К</v>
      </c>
      <c r="B549" s="6">
        <v>45601</v>
      </c>
      <c r="C549" s="1" t="str">
        <f>"00041"</f>
        <v>00041</v>
      </c>
      <c r="D54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49" s="1" t="s">
        <v>20</v>
      </c>
      <c r="F54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49" s="1" t="str">
        <f t="shared" si="84"/>
        <v>Фізична особа</v>
      </c>
      <c r="H549" s="1" t="s">
        <v>20</v>
      </c>
      <c r="I549" s="1" t="s">
        <v>20</v>
      </c>
      <c r="J549" s="1" t="str">
        <f t="shared" si="85"/>
        <v>Закрито</v>
      </c>
      <c r="K549" s="5">
        <v>45602</v>
      </c>
      <c r="L549" s="1" t="s">
        <v>20</v>
      </c>
      <c r="M549" s="1" t="s">
        <v>22</v>
      </c>
      <c r="N549" s="5">
        <v>45602</v>
      </c>
    </row>
    <row r="550" spans="1:14" x14ac:dyDescent="0.3">
      <c r="A550" s="1" t="str">
        <f>"6_366-11/2024/П"</f>
        <v>6_366-11/2024/П</v>
      </c>
      <c r="B550" s="6">
        <v>45601</v>
      </c>
      <c r="C550" s="1" t="str">
        <f>"33"</f>
        <v>33</v>
      </c>
      <c r="D550" s="2" t="str">
        <f>"33 Довідки різного характеру"</f>
        <v>33 Довідки різного характеру</v>
      </c>
      <c r="E550" s="1" t="s">
        <v>20</v>
      </c>
      <c r="F55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50" s="1" t="str">
        <f t="shared" si="84"/>
        <v>Фізична особа</v>
      </c>
      <c r="H550" s="1" t="s">
        <v>20</v>
      </c>
      <c r="I550" s="1" t="s">
        <v>20</v>
      </c>
      <c r="J550" s="1" t="str">
        <f t="shared" si="85"/>
        <v>Закрито</v>
      </c>
      <c r="K550" s="5">
        <v>45601</v>
      </c>
      <c r="L550" s="1" t="s">
        <v>20</v>
      </c>
      <c r="M550" s="1" t="s">
        <v>22</v>
      </c>
      <c r="N550" s="5">
        <v>45601</v>
      </c>
    </row>
    <row r="551" spans="1:14" x14ac:dyDescent="0.3">
      <c r="A551" s="1" t="str">
        <f>"9_1592/04054323-11/2024/К"</f>
        <v>9_1592/04054323-11/2024/К</v>
      </c>
      <c r="B551" s="6">
        <v>45601</v>
      </c>
      <c r="C551" s="1" t="str">
        <f>"01"</f>
        <v>01</v>
      </c>
      <c r="D551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551" s="1" t="str">
        <f>"04054323"</f>
        <v>04054323</v>
      </c>
      <c r="F551" s="1" t="str">
        <f>"Рогатинська міська рада"</f>
        <v>Рогатинська міська рада</v>
      </c>
      <c r="G551" s="1" t="str">
        <f t="shared" si="84"/>
        <v>Фізична особа</v>
      </c>
      <c r="H551" s="1" t="s">
        <v>20</v>
      </c>
      <c r="I551" s="1" t="s">
        <v>20</v>
      </c>
      <c r="J551" s="1" t="str">
        <f t="shared" si="85"/>
        <v>Закрито</v>
      </c>
      <c r="K551" s="5">
        <v>45637</v>
      </c>
      <c r="L551" s="1" t="s">
        <v>20</v>
      </c>
      <c r="M551" s="1" t="s">
        <v>22</v>
      </c>
      <c r="N551" s="5">
        <v>45637</v>
      </c>
    </row>
    <row r="552" spans="1:14" x14ac:dyDescent="0.3">
      <c r="A552" s="1" t="str">
        <f>"2_1892/2129-11/2024/К"</f>
        <v>2_1892/2129-11/2024/К</v>
      </c>
      <c r="B552" s="6">
        <v>45601</v>
      </c>
      <c r="C552" s="1" t="str">
        <f>"00041"</f>
        <v>00041</v>
      </c>
      <c r="D55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52" s="1" t="s">
        <v>20</v>
      </c>
      <c r="F5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52" s="1" t="str">
        <f t="shared" si="84"/>
        <v>Фізична особа</v>
      </c>
      <c r="H552" s="1" t="s">
        <v>20</v>
      </c>
      <c r="I552" s="1" t="s">
        <v>20</v>
      </c>
      <c r="J552" s="1" t="str">
        <f t="shared" si="85"/>
        <v>Закрито</v>
      </c>
      <c r="K552" s="5">
        <v>45602</v>
      </c>
      <c r="L552" s="1" t="s">
        <v>20</v>
      </c>
      <c r="M552" s="1" t="s">
        <v>22</v>
      </c>
      <c r="N552" s="5">
        <v>45602</v>
      </c>
    </row>
    <row r="553" spans="1:14" x14ac:dyDescent="0.3">
      <c r="A553" s="1" t="str">
        <f>"6_367-11/2024/П"</f>
        <v>6_367-11/2024/П</v>
      </c>
      <c r="B553" s="6">
        <v>45601</v>
      </c>
      <c r="C553" s="1" t="str">
        <f>"33"</f>
        <v>33</v>
      </c>
      <c r="D553" s="2" t="str">
        <f>"33 Довідки різного характеру"</f>
        <v>33 Довідки різного характеру</v>
      </c>
      <c r="E553" s="1" t="s">
        <v>20</v>
      </c>
      <c r="F5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53" s="1" t="str">
        <f t="shared" si="84"/>
        <v>Фізична особа</v>
      </c>
      <c r="H553" s="1" t="s">
        <v>20</v>
      </c>
      <c r="I553" s="1" t="s">
        <v>20</v>
      </c>
      <c r="J553" s="1" t="str">
        <f t="shared" si="85"/>
        <v>Закрито</v>
      </c>
      <c r="K553" s="5">
        <v>45601</v>
      </c>
      <c r="L553" s="1" t="s">
        <v>20</v>
      </c>
      <c r="M553" s="1" t="s">
        <v>22</v>
      </c>
      <c r="N553" s="5">
        <v>45601</v>
      </c>
    </row>
    <row r="554" spans="1:14" x14ac:dyDescent="0.3">
      <c r="A554" s="1" t="str">
        <f>"3_824-11/2024/Х"</f>
        <v>3_824-11/2024/Х</v>
      </c>
      <c r="B554" s="6">
        <v>45601</v>
      </c>
      <c r="C554" s="1" t="str">
        <f>"00133"</f>
        <v>00133</v>
      </c>
      <c r="D554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554" s="1" t="str">
        <f>"03193413"</f>
        <v>03193413</v>
      </c>
      <c r="F55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554" s="1" t="str">
        <f t="shared" si="84"/>
        <v>Фізична особа</v>
      </c>
      <c r="H554" s="1" t="s">
        <v>20</v>
      </c>
      <c r="I554" s="1" t="s">
        <v>20</v>
      </c>
      <c r="J554" s="1" t="str">
        <f t="shared" si="85"/>
        <v>Закрито</v>
      </c>
      <c r="K554" s="5">
        <v>45614</v>
      </c>
      <c r="L554" s="1" t="s">
        <v>20</v>
      </c>
      <c r="M554" s="1" t="s">
        <v>22</v>
      </c>
      <c r="N554" s="5">
        <v>45614</v>
      </c>
    </row>
    <row r="555" spans="1:14" x14ac:dyDescent="0.3">
      <c r="A555" s="1" t="str">
        <f>"15_324-11/2024/В"</f>
        <v>15_324-11/2024/В</v>
      </c>
      <c r="B555" s="6">
        <v>45601</v>
      </c>
      <c r="C555" s="1" t="str">
        <f>"33"</f>
        <v>33</v>
      </c>
      <c r="D555" s="2" t="str">
        <f>"33 Довідки різного характеру"</f>
        <v>33 Довідки різного характеру</v>
      </c>
      <c r="E555" s="1" t="s">
        <v>20</v>
      </c>
      <c r="F55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55" s="1" t="str">
        <f t="shared" si="84"/>
        <v>Фізична особа</v>
      </c>
      <c r="H555" s="1" t="s">
        <v>20</v>
      </c>
      <c r="I555" s="1" t="s">
        <v>20</v>
      </c>
      <c r="J555" s="1" t="str">
        <f t="shared" si="85"/>
        <v>Закрито</v>
      </c>
      <c r="K555" s="5">
        <v>45601</v>
      </c>
      <c r="L555" s="1" t="s">
        <v>20</v>
      </c>
      <c r="M555" s="1" t="s">
        <v>22</v>
      </c>
      <c r="N555" s="5">
        <v>45601</v>
      </c>
    </row>
    <row r="556" spans="1:14" x14ac:dyDescent="0.3">
      <c r="A556" s="1" t="str">
        <f>"21_635-11/2024/С"</f>
        <v>21_635-11/2024/С</v>
      </c>
      <c r="B556" s="6">
        <v>45601</v>
      </c>
      <c r="C556" s="1" t="str">
        <f>"00038"</f>
        <v>00038</v>
      </c>
      <c r="D55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56" s="1" t="s">
        <v>20</v>
      </c>
      <c r="F55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56" s="1" t="str">
        <f t="shared" si="84"/>
        <v>Фізична особа</v>
      </c>
      <c r="H556" s="1" t="s">
        <v>20</v>
      </c>
      <c r="I556" s="1" t="s">
        <v>20</v>
      </c>
      <c r="J556" s="1" t="str">
        <f t="shared" si="85"/>
        <v>Закрито</v>
      </c>
      <c r="K556" s="5">
        <v>45601</v>
      </c>
      <c r="L556" s="1" t="s">
        <v>20</v>
      </c>
      <c r="M556" s="1" t="s">
        <v>22</v>
      </c>
      <c r="N556" s="5">
        <v>45601</v>
      </c>
    </row>
    <row r="557" spans="1:14" x14ac:dyDescent="0.3">
      <c r="A557" s="1" t="str">
        <f>"4_1228/03193413-11/2024/В"</f>
        <v>4_1228/03193413-11/2024/В</v>
      </c>
      <c r="B557" s="6">
        <v>45601</v>
      </c>
      <c r="C557" s="1" t="str">
        <f>"00155"</f>
        <v>00155</v>
      </c>
      <c r="D557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557" s="1" t="str">
        <f>"03193413"</f>
        <v>03193413</v>
      </c>
      <c r="F55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557" s="1" t="str">
        <f t="shared" si="84"/>
        <v>Фізична особа</v>
      </c>
      <c r="H557" s="1" t="s">
        <v>20</v>
      </c>
      <c r="I557" s="1" t="s">
        <v>20</v>
      </c>
      <c r="J557" s="1" t="str">
        <f>"Зареєстрований"</f>
        <v>Зареєстрований</v>
      </c>
      <c r="K557" s="1" t="s">
        <v>20</v>
      </c>
      <c r="L557" s="1" t="s">
        <v>20</v>
      </c>
      <c r="M557" s="1" t="s">
        <v>22</v>
      </c>
      <c r="N557" s="1" t="s">
        <v>20</v>
      </c>
    </row>
    <row r="558" spans="1:14" x14ac:dyDescent="0.3">
      <c r="A558" s="1" t="str">
        <f>"34_366-11/2024/У"</f>
        <v>34_366-11/2024/У</v>
      </c>
      <c r="B558" s="6">
        <v>45601</v>
      </c>
      <c r="C558" s="1" t="str">
        <f>"00037"</f>
        <v>00037</v>
      </c>
      <c r="D558" s="2" t="str">
        <f>"Зняття з реєстрації місця проживання"</f>
        <v>Зняття з реєстрації місця проживання</v>
      </c>
      <c r="E558" s="1" t="s">
        <v>20</v>
      </c>
      <c r="F55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58" s="1" t="str">
        <f>"Юридична особа"</f>
        <v>Юридична особа</v>
      </c>
      <c r="H558" s="1" t="str">
        <f>"УДМС в Івано-Франківській обл"</f>
        <v>УДМС в Івано-Франківській обл</v>
      </c>
      <c r="I558" s="1" t="s">
        <v>20</v>
      </c>
      <c r="J558" s="1" t="str">
        <f t="shared" ref="J558:J570" si="86">"Закрито"</f>
        <v>Закрито</v>
      </c>
      <c r="K558" s="5">
        <v>45601</v>
      </c>
      <c r="L558" s="1" t="s">
        <v>20</v>
      </c>
      <c r="M558" s="1" t="s">
        <v>22</v>
      </c>
      <c r="N558" s="5">
        <v>45601</v>
      </c>
    </row>
    <row r="559" spans="1:14" x14ac:dyDescent="0.3">
      <c r="A559" s="1" t="str">
        <f>"9_1593/04054323-11/2024/Б"</f>
        <v>9_1593/04054323-11/2024/Б</v>
      </c>
      <c r="B559" s="6">
        <v>45601</v>
      </c>
      <c r="C559" s="1" t="str">
        <f>"01"</f>
        <v>01</v>
      </c>
      <c r="D559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559" s="1" t="str">
        <f>"04054323"</f>
        <v>04054323</v>
      </c>
      <c r="F559" s="1" t="str">
        <f>"Рогатинська міська рада"</f>
        <v>Рогатинська міська рада</v>
      </c>
      <c r="G559" s="1" t="str">
        <f t="shared" ref="G559:G602" si="87">"Фізична особа"</f>
        <v>Фізична особа</v>
      </c>
      <c r="H559" s="1" t="s">
        <v>20</v>
      </c>
      <c r="I559" s="1" t="s">
        <v>20</v>
      </c>
      <c r="J559" s="1" t="str">
        <f t="shared" si="86"/>
        <v>Закрито</v>
      </c>
      <c r="K559" s="5">
        <v>45637</v>
      </c>
      <c r="L559" s="1" t="s">
        <v>20</v>
      </c>
      <c r="M559" s="1" t="s">
        <v>22</v>
      </c>
      <c r="N559" s="5">
        <v>45637</v>
      </c>
    </row>
    <row r="560" spans="1:14" x14ac:dyDescent="0.3">
      <c r="A560" s="1" t="str">
        <f>"2_1893/2129-11/2024/Ж"</f>
        <v>2_1893/2129-11/2024/Ж</v>
      </c>
      <c r="B560" s="6">
        <v>45601</v>
      </c>
      <c r="C560" s="1" t="str">
        <f>"00041"</f>
        <v>00041</v>
      </c>
      <c r="D56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60" s="1" t="s">
        <v>20</v>
      </c>
      <c r="F560" s="1" t="str">
        <f t="shared" ref="F560:F567" si="88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60" s="1" t="str">
        <f t="shared" si="87"/>
        <v>Фізична особа</v>
      </c>
      <c r="H560" s="1" t="s">
        <v>20</v>
      </c>
      <c r="I560" s="1" t="s">
        <v>20</v>
      </c>
      <c r="J560" s="1" t="str">
        <f t="shared" si="86"/>
        <v>Закрито</v>
      </c>
      <c r="K560" s="5">
        <v>45602</v>
      </c>
      <c r="L560" s="1" t="s">
        <v>20</v>
      </c>
      <c r="M560" s="1" t="s">
        <v>22</v>
      </c>
      <c r="N560" s="5">
        <v>45602</v>
      </c>
    </row>
    <row r="561" spans="1:14" x14ac:dyDescent="0.3">
      <c r="A561" s="1" t="str">
        <f>"2_1894/2129-11/2024/Ж"</f>
        <v>2_1894/2129-11/2024/Ж</v>
      </c>
      <c r="B561" s="6">
        <v>45601</v>
      </c>
      <c r="C561" s="1" t="str">
        <f>"00041"</f>
        <v>00041</v>
      </c>
      <c r="D56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61" s="1" t="s">
        <v>20</v>
      </c>
      <c r="F561" s="1" t="str">
        <f t="shared" si="88"/>
        <v>Центр надання адміністративних послуг Рогатинської міської ради</v>
      </c>
      <c r="G561" s="1" t="str">
        <f t="shared" si="87"/>
        <v>Фізична особа</v>
      </c>
      <c r="H561" s="1" t="s">
        <v>20</v>
      </c>
      <c r="I561" s="1" t="s">
        <v>20</v>
      </c>
      <c r="J561" s="1" t="str">
        <f t="shared" si="86"/>
        <v>Закрито</v>
      </c>
      <c r="K561" s="5">
        <v>45602</v>
      </c>
      <c r="L561" s="1" t="s">
        <v>20</v>
      </c>
      <c r="M561" s="1" t="s">
        <v>22</v>
      </c>
      <c r="N561" s="5">
        <v>45602</v>
      </c>
    </row>
    <row r="562" spans="1:14" x14ac:dyDescent="0.3">
      <c r="A562" s="1" t="str">
        <f>"2_1895/2129-11/2024/Д"</f>
        <v>2_1895/2129-11/2024/Д</v>
      </c>
      <c r="B562" s="6">
        <v>45601</v>
      </c>
      <c r="C562" s="1" t="str">
        <f>"00041"</f>
        <v>00041</v>
      </c>
      <c r="D56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62" s="1" t="s">
        <v>20</v>
      </c>
      <c r="F562" s="1" t="str">
        <f t="shared" si="88"/>
        <v>Центр надання адміністративних послуг Рогатинської міської ради</v>
      </c>
      <c r="G562" s="1" t="str">
        <f t="shared" si="87"/>
        <v>Фізична особа</v>
      </c>
      <c r="H562" s="1" t="s">
        <v>20</v>
      </c>
      <c r="I562" s="1" t="s">
        <v>20</v>
      </c>
      <c r="J562" s="1" t="str">
        <f t="shared" si="86"/>
        <v>Закрито</v>
      </c>
      <c r="K562" s="5">
        <v>45602</v>
      </c>
      <c r="L562" s="1" t="s">
        <v>20</v>
      </c>
      <c r="M562" s="1" t="s">
        <v>22</v>
      </c>
      <c r="N562" s="5">
        <v>45602</v>
      </c>
    </row>
    <row r="563" spans="1:14" x14ac:dyDescent="0.3">
      <c r="A563" s="1" t="str">
        <f>"2_1896/2129-11/2024/В"</f>
        <v>2_1896/2129-11/2024/В</v>
      </c>
      <c r="B563" s="6">
        <v>45601</v>
      </c>
      <c r="C563" s="1" t="str">
        <f>"00041"</f>
        <v>00041</v>
      </c>
      <c r="D563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63" s="1" t="s">
        <v>20</v>
      </c>
      <c r="F563" s="1" t="str">
        <f t="shared" si="88"/>
        <v>Центр надання адміністративних послуг Рогатинської міської ради</v>
      </c>
      <c r="G563" s="1" t="str">
        <f t="shared" si="87"/>
        <v>Фізична особа</v>
      </c>
      <c r="H563" s="1" t="s">
        <v>20</v>
      </c>
      <c r="I563" s="1" t="s">
        <v>20</v>
      </c>
      <c r="J563" s="1" t="str">
        <f t="shared" si="86"/>
        <v>Закрито</v>
      </c>
      <c r="K563" s="5">
        <v>45602</v>
      </c>
      <c r="L563" s="1" t="s">
        <v>20</v>
      </c>
      <c r="M563" s="1" t="s">
        <v>22</v>
      </c>
      <c r="N563" s="5">
        <v>45602</v>
      </c>
    </row>
    <row r="564" spans="1:14" x14ac:dyDescent="0.3">
      <c r="A564" s="1" t="str">
        <f>"2_1897/2129-11/2024/В"</f>
        <v>2_1897/2129-11/2024/В</v>
      </c>
      <c r="B564" s="6">
        <v>45601</v>
      </c>
      <c r="C564" s="1" t="str">
        <f>"00041"</f>
        <v>00041</v>
      </c>
      <c r="D56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64" s="1" t="s">
        <v>20</v>
      </c>
      <c r="F564" s="1" t="str">
        <f t="shared" si="88"/>
        <v>Центр надання адміністративних послуг Рогатинської міської ради</v>
      </c>
      <c r="G564" s="1" t="str">
        <f t="shared" si="87"/>
        <v>Фізична особа</v>
      </c>
      <c r="H564" s="1" t="s">
        <v>20</v>
      </c>
      <c r="I564" s="1" t="s">
        <v>20</v>
      </c>
      <c r="J564" s="1" t="str">
        <f t="shared" si="86"/>
        <v>Закрито</v>
      </c>
      <c r="K564" s="5">
        <v>45602</v>
      </c>
      <c r="L564" s="1" t="s">
        <v>20</v>
      </c>
      <c r="M564" s="1" t="s">
        <v>22</v>
      </c>
      <c r="N564" s="5">
        <v>45602</v>
      </c>
    </row>
    <row r="565" spans="1:14" x14ac:dyDescent="0.3">
      <c r="A565" s="1" t="str">
        <f>"34_367-11/2024/К"</f>
        <v>34_367-11/2024/К</v>
      </c>
      <c r="B565" s="6">
        <v>45601</v>
      </c>
      <c r="C565" s="1" t="str">
        <f>"33"</f>
        <v>33</v>
      </c>
      <c r="D565" s="2" t="str">
        <f>"33 Довідки різного характеру"</f>
        <v>33 Довідки різного характеру</v>
      </c>
      <c r="E565" s="1" t="s">
        <v>20</v>
      </c>
      <c r="F565" s="1" t="str">
        <f t="shared" si="88"/>
        <v>Центр надання адміністративних послуг Рогатинської міської ради</v>
      </c>
      <c r="G565" s="1" t="str">
        <f t="shared" si="87"/>
        <v>Фізична особа</v>
      </c>
      <c r="H565" s="1" t="s">
        <v>20</v>
      </c>
      <c r="I565" s="1" t="s">
        <v>20</v>
      </c>
      <c r="J565" s="1" t="str">
        <f t="shared" si="86"/>
        <v>Закрито</v>
      </c>
      <c r="K565" s="5">
        <v>45601</v>
      </c>
      <c r="L565" s="1" t="s">
        <v>20</v>
      </c>
      <c r="M565" s="1" t="s">
        <v>22</v>
      </c>
      <c r="N565" s="5">
        <v>45601</v>
      </c>
    </row>
    <row r="566" spans="1:14" x14ac:dyDescent="0.3">
      <c r="A566" s="1" t="str">
        <f>"34_368-11/2024/К"</f>
        <v>34_368-11/2024/К</v>
      </c>
      <c r="B566" s="6">
        <v>45601</v>
      </c>
      <c r="C566" s="1" t="str">
        <f>"33"</f>
        <v>33</v>
      </c>
      <c r="D566" s="2" t="str">
        <f>"33 Довідки різного характеру"</f>
        <v>33 Довідки різного характеру</v>
      </c>
      <c r="E566" s="1" t="s">
        <v>20</v>
      </c>
      <c r="F566" s="1" t="str">
        <f t="shared" si="88"/>
        <v>Центр надання адміністративних послуг Рогатинської міської ради</v>
      </c>
      <c r="G566" s="1" t="str">
        <f t="shared" si="87"/>
        <v>Фізична особа</v>
      </c>
      <c r="H566" s="1" t="s">
        <v>20</v>
      </c>
      <c r="I566" s="1" t="s">
        <v>20</v>
      </c>
      <c r="J566" s="1" t="str">
        <f t="shared" si="86"/>
        <v>Закрито</v>
      </c>
      <c r="K566" s="5">
        <v>45601</v>
      </c>
      <c r="L566" s="1" t="s">
        <v>20</v>
      </c>
      <c r="M566" s="1" t="s">
        <v>22</v>
      </c>
      <c r="N566" s="5">
        <v>45601</v>
      </c>
    </row>
    <row r="567" spans="1:14" x14ac:dyDescent="0.3">
      <c r="A567" s="1" t="str">
        <f>"20_157-11/2024/Б"</f>
        <v>20_157-11/2024/Б</v>
      </c>
      <c r="B567" s="6">
        <v>45601</v>
      </c>
      <c r="C567" s="1" t="str">
        <f>"00038"</f>
        <v>00038</v>
      </c>
      <c r="D56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67" s="1" t="s">
        <v>20</v>
      </c>
      <c r="F567" s="1" t="str">
        <f t="shared" si="88"/>
        <v>Центр надання адміністративних послуг Рогатинської міської ради</v>
      </c>
      <c r="G567" s="1" t="str">
        <f t="shared" si="87"/>
        <v>Фізична особа</v>
      </c>
      <c r="H567" s="1" t="s">
        <v>20</v>
      </c>
      <c r="I567" s="1" t="s">
        <v>20</v>
      </c>
      <c r="J567" s="1" t="str">
        <f t="shared" si="86"/>
        <v>Закрито</v>
      </c>
      <c r="K567" s="5">
        <v>45601</v>
      </c>
      <c r="L567" s="1" t="s">
        <v>20</v>
      </c>
      <c r="M567" s="1" t="s">
        <v>22</v>
      </c>
      <c r="N567" s="5">
        <v>45601</v>
      </c>
    </row>
    <row r="568" spans="1:14" x14ac:dyDescent="0.3">
      <c r="A568" s="1" t="str">
        <f>"9_1594/04054323-11/2024/Г"</f>
        <v>9_1594/04054323-11/2024/Г</v>
      </c>
      <c r="B568" s="6">
        <v>45601</v>
      </c>
      <c r="C568" s="1" t="str">
        <f>"01-1"</f>
        <v>01-1</v>
      </c>
      <c r="D568" s="2" t="s">
        <v>0</v>
      </c>
      <c r="E568" s="1" t="str">
        <f>"04054323"</f>
        <v>04054323</v>
      </c>
      <c r="F568" s="1" t="str">
        <f>"Рогатинська міська рада"</f>
        <v>Рогатинська міська рада</v>
      </c>
      <c r="G568" s="1" t="str">
        <f t="shared" si="87"/>
        <v>Фізична особа</v>
      </c>
      <c r="H568" s="1" t="s">
        <v>20</v>
      </c>
      <c r="I568" s="1" t="s">
        <v>20</v>
      </c>
      <c r="J568" s="1" t="str">
        <f t="shared" si="86"/>
        <v>Закрито</v>
      </c>
      <c r="K568" s="5">
        <v>45637</v>
      </c>
      <c r="L568" s="1" t="s">
        <v>20</v>
      </c>
      <c r="M568" s="1" t="s">
        <v>22</v>
      </c>
      <c r="N568" s="5">
        <v>45637</v>
      </c>
    </row>
    <row r="569" spans="1:14" x14ac:dyDescent="0.3">
      <c r="A569" s="1" t="str">
        <f>"12_814-11/2024/Б"</f>
        <v>12_814-11/2024/Б</v>
      </c>
      <c r="B569" s="6">
        <v>45601</v>
      </c>
      <c r="C569" s="1" t="str">
        <f>"00155"</f>
        <v>00155</v>
      </c>
      <c r="D569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569" s="1" t="str">
        <f>"03193413"</f>
        <v>03193413</v>
      </c>
      <c r="F56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569" s="1" t="str">
        <f t="shared" si="87"/>
        <v>Фізична особа</v>
      </c>
      <c r="H569" s="1" t="s">
        <v>20</v>
      </c>
      <c r="I569" s="1" t="s">
        <v>20</v>
      </c>
      <c r="J569" s="1" t="str">
        <f t="shared" si="86"/>
        <v>Закрито</v>
      </c>
      <c r="K569" s="5">
        <v>45632</v>
      </c>
      <c r="L569" s="1" t="s">
        <v>20</v>
      </c>
      <c r="M569" s="1" t="s">
        <v>22</v>
      </c>
      <c r="N569" s="5">
        <v>45644</v>
      </c>
    </row>
    <row r="570" spans="1:14" x14ac:dyDescent="0.3">
      <c r="A570" s="1" t="str">
        <f>"22_519-11/2024/К"</f>
        <v>22_519-11/2024/К</v>
      </c>
      <c r="B570" s="6">
        <v>45601</v>
      </c>
      <c r="C570" s="1" t="str">
        <f>"00038"</f>
        <v>00038</v>
      </c>
      <c r="D57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70" s="1" t="s">
        <v>20</v>
      </c>
      <c r="F57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70" s="1" t="str">
        <f t="shared" si="87"/>
        <v>Фізична особа</v>
      </c>
      <c r="H570" s="1" t="s">
        <v>20</v>
      </c>
      <c r="I570" s="1" t="s">
        <v>20</v>
      </c>
      <c r="J570" s="1" t="str">
        <f t="shared" si="86"/>
        <v>Закрито</v>
      </c>
      <c r="K570" s="5">
        <v>45601</v>
      </c>
      <c r="L570" s="1" t="s">
        <v>20</v>
      </c>
      <c r="M570" s="1" t="s">
        <v>22</v>
      </c>
      <c r="N570" s="5">
        <v>45601</v>
      </c>
    </row>
    <row r="571" spans="1:14" x14ac:dyDescent="0.3">
      <c r="A571" s="1" t="str">
        <f>"2_1898/2129-11/2024/А"</f>
        <v>2_1898/2129-11/2024/А</v>
      </c>
      <c r="B571" s="6">
        <v>45601</v>
      </c>
      <c r="C571" s="1" t="str">
        <f>"00043"</f>
        <v>00043</v>
      </c>
      <c r="D571" s="2" t="str">
        <f>"Скасування запису Державного реєстру речових прав на нерухоме майно, скасування державної реєстрації речових прав на нерухоме майно та їх обтяжень, скасування рішення державного реєстратора (за судовим рішенням)"</f>
        <v>Скасування запису Державного реєстру речових прав на нерухоме майно, скасування державної реєстрації речових прав на нерухоме майно та їх обтяжень, скасування рішення державного реєстратора (за судовим рішенням)</v>
      </c>
      <c r="E571" s="1" t="s">
        <v>20</v>
      </c>
      <c r="F57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71" s="1" t="str">
        <f t="shared" si="87"/>
        <v>Фізична особа</v>
      </c>
      <c r="H571" s="1" t="s">
        <v>20</v>
      </c>
      <c r="I571" s="1" t="s">
        <v>20</v>
      </c>
      <c r="J571" s="1" t="str">
        <f>"Результат підготовлено СНАП"</f>
        <v>Результат підготовлено СНАП</v>
      </c>
      <c r="K571" s="5">
        <v>45602</v>
      </c>
      <c r="L571" s="1" t="s">
        <v>20</v>
      </c>
      <c r="M571" s="1" t="s">
        <v>22</v>
      </c>
      <c r="N571" s="5">
        <v>45602</v>
      </c>
    </row>
    <row r="572" spans="1:14" x14ac:dyDescent="0.3">
      <c r="A572" s="1" t="str">
        <f>"34_369-11/2024/Д"</f>
        <v>34_369-11/2024/Д</v>
      </c>
      <c r="B572" s="6">
        <v>45601</v>
      </c>
      <c r="C572" s="1" t="str">
        <f>"00064"</f>
        <v>00064</v>
      </c>
      <c r="D572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572" s="1" t="s">
        <v>20</v>
      </c>
      <c r="F572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572" s="1" t="str">
        <f t="shared" si="87"/>
        <v>Фізична особа</v>
      </c>
      <c r="H572" s="1" t="s">
        <v>20</v>
      </c>
      <c r="I572" s="1" t="s">
        <v>20</v>
      </c>
      <c r="J572" s="1" t="str">
        <f t="shared" ref="J572:J579" si="89">"Закрито"</f>
        <v>Закрито</v>
      </c>
      <c r="K572" s="5">
        <v>45601</v>
      </c>
      <c r="L572" s="1" t="s">
        <v>20</v>
      </c>
      <c r="M572" s="1" t="s">
        <v>22</v>
      </c>
      <c r="N572" s="5">
        <v>45601</v>
      </c>
    </row>
    <row r="573" spans="1:14" x14ac:dyDescent="0.3">
      <c r="A573" s="1" t="str">
        <f>"12_815-11/2024/Б"</f>
        <v>12_815-11/2024/Б</v>
      </c>
      <c r="B573" s="6">
        <v>45601</v>
      </c>
      <c r="C573" s="1" t="str">
        <f>"00038"</f>
        <v>00038</v>
      </c>
      <c r="D57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73" s="1" t="s">
        <v>20</v>
      </c>
      <c r="F57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73" s="1" t="str">
        <f t="shared" si="87"/>
        <v>Фізична особа</v>
      </c>
      <c r="H573" s="1" t="s">
        <v>20</v>
      </c>
      <c r="I573" s="1" t="s">
        <v>20</v>
      </c>
      <c r="J573" s="1" t="str">
        <f t="shared" si="89"/>
        <v>Закрито</v>
      </c>
      <c r="K573" s="5">
        <v>45601</v>
      </c>
      <c r="L573" s="1" t="s">
        <v>20</v>
      </c>
      <c r="M573" s="1" t="s">
        <v>22</v>
      </c>
      <c r="N573" s="5">
        <v>45601</v>
      </c>
    </row>
    <row r="574" spans="1:14" x14ac:dyDescent="0.3">
      <c r="A574" s="1" t="str">
        <f>"22_520-11/2024/С"</f>
        <v>22_520-11/2024/С</v>
      </c>
      <c r="B574" s="6">
        <v>45601</v>
      </c>
      <c r="C574" s="1" t="str">
        <f>"00038"</f>
        <v>00038</v>
      </c>
      <c r="D57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74" s="1" t="s">
        <v>20</v>
      </c>
      <c r="F57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74" s="1" t="str">
        <f t="shared" si="87"/>
        <v>Фізична особа</v>
      </c>
      <c r="H574" s="1" t="s">
        <v>20</v>
      </c>
      <c r="I574" s="1" t="s">
        <v>20</v>
      </c>
      <c r="J574" s="1" t="str">
        <f t="shared" si="89"/>
        <v>Закрито</v>
      </c>
      <c r="K574" s="5">
        <v>45601</v>
      </c>
      <c r="L574" s="1" t="s">
        <v>20</v>
      </c>
      <c r="M574" s="1" t="s">
        <v>22</v>
      </c>
      <c r="N574" s="5">
        <v>45601</v>
      </c>
    </row>
    <row r="575" spans="1:14" x14ac:dyDescent="0.3">
      <c r="A575" s="1" t="str">
        <f>"34_370-11/2024/Д"</f>
        <v>34_370-11/2024/Д</v>
      </c>
      <c r="B575" s="6">
        <v>45601</v>
      </c>
      <c r="C575" s="1" t="str">
        <f>"33"</f>
        <v>33</v>
      </c>
      <c r="D575" s="2" t="str">
        <f>"33 Довідки різного характеру"</f>
        <v>33 Довідки різного характеру</v>
      </c>
      <c r="E575" s="1" t="s">
        <v>20</v>
      </c>
      <c r="F5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75" s="1" t="str">
        <f t="shared" si="87"/>
        <v>Фізична особа</v>
      </c>
      <c r="H575" s="1" t="s">
        <v>20</v>
      </c>
      <c r="I575" s="1" t="s">
        <v>20</v>
      </c>
      <c r="J575" s="1" t="str">
        <f t="shared" si="89"/>
        <v>Закрито</v>
      </c>
      <c r="K575" s="5">
        <v>45601</v>
      </c>
      <c r="L575" s="1" t="s">
        <v>20</v>
      </c>
      <c r="M575" s="1" t="s">
        <v>22</v>
      </c>
      <c r="N575" s="5">
        <v>45601</v>
      </c>
    </row>
    <row r="576" spans="1:14" x14ac:dyDescent="0.3">
      <c r="A576" s="1" t="str">
        <f>"12_816-11/2024/К"</f>
        <v>12_816-11/2024/К</v>
      </c>
      <c r="B576" s="6">
        <v>45601</v>
      </c>
      <c r="C576" s="1" t="str">
        <f>"00038"</f>
        <v>00038</v>
      </c>
      <c r="D57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76" s="1" t="s">
        <v>20</v>
      </c>
      <c r="F57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76" s="1" t="str">
        <f t="shared" si="87"/>
        <v>Фізична особа</v>
      </c>
      <c r="H576" s="1" t="s">
        <v>20</v>
      </c>
      <c r="I576" s="1" t="s">
        <v>20</v>
      </c>
      <c r="J576" s="1" t="str">
        <f t="shared" si="89"/>
        <v>Закрито</v>
      </c>
      <c r="K576" s="5">
        <v>45601</v>
      </c>
      <c r="L576" s="1" t="s">
        <v>20</v>
      </c>
      <c r="M576" s="1" t="s">
        <v>22</v>
      </c>
      <c r="N576" s="5">
        <v>45601</v>
      </c>
    </row>
    <row r="577" spans="1:14" x14ac:dyDescent="0.3">
      <c r="A577" s="1" t="str">
        <f>"35_498-11/2024/Х"</f>
        <v>35_498-11/2024/Х</v>
      </c>
      <c r="B577" s="6">
        <v>45601</v>
      </c>
      <c r="C577" s="1" t="str">
        <f>"00133"</f>
        <v>00133</v>
      </c>
      <c r="D577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577" s="1" t="str">
        <f>"03193413"</f>
        <v>03193413</v>
      </c>
      <c r="F57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577" s="1" t="str">
        <f t="shared" si="87"/>
        <v>Фізична особа</v>
      </c>
      <c r="H577" s="1" t="s">
        <v>20</v>
      </c>
      <c r="I577" s="1" t="s">
        <v>20</v>
      </c>
      <c r="J577" s="1" t="str">
        <f t="shared" si="89"/>
        <v>Закрито</v>
      </c>
      <c r="K577" s="5">
        <v>45636</v>
      </c>
      <c r="L577" s="1" t="s">
        <v>20</v>
      </c>
      <c r="M577" s="1" t="s">
        <v>22</v>
      </c>
      <c r="N577" s="5">
        <v>45636</v>
      </c>
    </row>
    <row r="578" spans="1:14" x14ac:dyDescent="0.3">
      <c r="A578" s="1" t="str">
        <f>"6_368-11/2024/Ш"</f>
        <v>6_368-11/2024/Ш</v>
      </c>
      <c r="B578" s="6">
        <v>45601</v>
      </c>
      <c r="C578" s="1" t="str">
        <f>"33"</f>
        <v>33</v>
      </c>
      <c r="D578" s="2" t="str">
        <f>"33 Довідки різного характеру"</f>
        <v>33 Довідки різного характеру</v>
      </c>
      <c r="E578" s="1" t="s">
        <v>20</v>
      </c>
      <c r="F57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78" s="1" t="str">
        <f t="shared" si="87"/>
        <v>Фізична особа</v>
      </c>
      <c r="H578" s="1" t="s">
        <v>20</v>
      </c>
      <c r="I578" s="1" t="s">
        <v>20</v>
      </c>
      <c r="J578" s="1" t="str">
        <f t="shared" si="89"/>
        <v>Закрито</v>
      </c>
      <c r="K578" s="5">
        <v>45601</v>
      </c>
      <c r="L578" s="1" t="s">
        <v>20</v>
      </c>
      <c r="M578" s="1" t="s">
        <v>22</v>
      </c>
      <c r="N578" s="5">
        <v>45601</v>
      </c>
    </row>
    <row r="579" spans="1:14" x14ac:dyDescent="0.3">
      <c r="A579" s="1" t="str">
        <f>"12_817-11/2024/К"</f>
        <v>12_817-11/2024/К</v>
      </c>
      <c r="B579" s="6">
        <v>45601</v>
      </c>
      <c r="C579" s="1" t="str">
        <f>"00038"</f>
        <v>00038</v>
      </c>
      <c r="D57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579" s="1" t="s">
        <v>20</v>
      </c>
      <c r="F57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79" s="1" t="str">
        <f t="shared" si="87"/>
        <v>Фізична особа</v>
      </c>
      <c r="H579" s="1" t="s">
        <v>20</v>
      </c>
      <c r="I579" s="1" t="s">
        <v>20</v>
      </c>
      <c r="J579" s="1" t="str">
        <f t="shared" si="89"/>
        <v>Закрито</v>
      </c>
      <c r="K579" s="5">
        <v>45601</v>
      </c>
      <c r="L579" s="1" t="s">
        <v>20</v>
      </c>
      <c r="M579" s="1" t="s">
        <v>22</v>
      </c>
      <c r="N579" s="5">
        <v>45601</v>
      </c>
    </row>
    <row r="580" spans="1:14" x14ac:dyDescent="0.3">
      <c r="A580" s="1" t="str">
        <f>"16_646-11/2024/Б"</f>
        <v>16_646-11/2024/Б</v>
      </c>
      <c r="B580" s="6">
        <v>45601</v>
      </c>
      <c r="C580" s="1" t="str">
        <f>"00064"</f>
        <v>00064</v>
      </c>
      <c r="D580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580" s="1" t="s">
        <v>20</v>
      </c>
      <c r="F580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580" s="1" t="str">
        <f t="shared" si="87"/>
        <v>Фізична особа</v>
      </c>
      <c r="H580" s="1" t="s">
        <v>20</v>
      </c>
      <c r="I580" s="1" t="s">
        <v>20</v>
      </c>
      <c r="J580" s="1" t="str">
        <f>"Зареєстрований"</f>
        <v>Зареєстрований</v>
      </c>
      <c r="K580" s="1" t="s">
        <v>20</v>
      </c>
      <c r="L580" s="1" t="s">
        <v>20</v>
      </c>
      <c r="M580" s="1" t="s">
        <v>22</v>
      </c>
      <c r="N580" s="1" t="s">
        <v>20</v>
      </c>
    </row>
    <row r="581" spans="1:14" x14ac:dyDescent="0.3">
      <c r="A581" s="1" t="str">
        <f>"24_325-11/2024/В"</f>
        <v>24_325-11/2024/В</v>
      </c>
      <c r="B581" s="6">
        <v>45601</v>
      </c>
      <c r="C581" s="1" t="str">
        <f>"33"</f>
        <v>33</v>
      </c>
      <c r="D581" s="2" t="str">
        <f>"33 Довідки різного характеру"</f>
        <v>33 Довідки різного характеру</v>
      </c>
      <c r="E581" s="1" t="s">
        <v>20</v>
      </c>
      <c r="F5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81" s="1" t="str">
        <f t="shared" si="87"/>
        <v>Фізична особа</v>
      </c>
      <c r="H581" s="1" t="s">
        <v>20</v>
      </c>
      <c r="I581" s="1" t="s">
        <v>20</v>
      </c>
      <c r="J581" s="1" t="str">
        <f t="shared" ref="J581:J595" si="90">"Закрито"</f>
        <v>Закрито</v>
      </c>
      <c r="K581" s="5">
        <v>45601</v>
      </c>
      <c r="L581" s="1" t="s">
        <v>20</v>
      </c>
      <c r="M581" s="1" t="s">
        <v>22</v>
      </c>
      <c r="N581" s="5">
        <v>45601</v>
      </c>
    </row>
    <row r="582" spans="1:14" x14ac:dyDescent="0.3">
      <c r="A582" s="1" t="str">
        <f>"9_1595/04054323-11/2024/М"</f>
        <v>9_1595/04054323-11/2024/М</v>
      </c>
      <c r="B582" s="6">
        <v>45601</v>
      </c>
      <c r="C582" s="1" t="str">
        <f>"01-1"</f>
        <v>01-1</v>
      </c>
      <c r="D582" s="2" t="s">
        <v>0</v>
      </c>
      <c r="E582" s="1" t="str">
        <f>"04054323"</f>
        <v>04054323</v>
      </c>
      <c r="F582" s="1" t="str">
        <f>"Рогатинська міська рада"</f>
        <v>Рогатинська міська рада</v>
      </c>
      <c r="G582" s="1" t="str">
        <f t="shared" si="87"/>
        <v>Фізична особа</v>
      </c>
      <c r="H582" s="1" t="s">
        <v>20</v>
      </c>
      <c r="I582" s="1" t="s">
        <v>20</v>
      </c>
      <c r="J582" s="1" t="str">
        <f t="shared" si="90"/>
        <v>Закрито</v>
      </c>
      <c r="K582" s="5">
        <v>45637</v>
      </c>
      <c r="L582" s="1" t="s">
        <v>20</v>
      </c>
      <c r="M582" s="1" t="s">
        <v>22</v>
      </c>
      <c r="N582" s="5">
        <v>45637</v>
      </c>
    </row>
    <row r="583" spans="1:14" x14ac:dyDescent="0.3">
      <c r="A583" s="1" t="str">
        <f>"2_1899/2129-11/2024/А"</f>
        <v>2_1899/2129-11/2024/А</v>
      </c>
      <c r="B583" s="6">
        <v>45601</v>
      </c>
      <c r="C583" s="1" t="str">
        <f>"00043"</f>
        <v>00043</v>
      </c>
      <c r="D583" s="2" t="str">
        <f>"Скасування запису Державного реєстру речових прав на нерухоме майно, скасування державної реєстрації речових прав на нерухоме майно та їх обтяжень, скасування рішення державного реєстратора (за судовим рішенням)"</f>
        <v>Скасування запису Державного реєстру речових прав на нерухоме майно, скасування державної реєстрації речових прав на нерухоме майно та їх обтяжень, скасування рішення державного реєстратора (за судовим рішенням)</v>
      </c>
      <c r="E583" s="1" t="s">
        <v>20</v>
      </c>
      <c r="F58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83" s="1" t="str">
        <f t="shared" si="87"/>
        <v>Фізична особа</v>
      </c>
      <c r="H583" s="1" t="s">
        <v>20</v>
      </c>
      <c r="I583" s="1" t="s">
        <v>20</v>
      </c>
      <c r="J583" s="1" t="str">
        <f t="shared" si="90"/>
        <v>Закрито</v>
      </c>
      <c r="K583" s="5">
        <v>45602</v>
      </c>
      <c r="L583" s="1" t="s">
        <v>20</v>
      </c>
      <c r="M583" s="1" t="s">
        <v>22</v>
      </c>
      <c r="N583" s="5">
        <v>45602</v>
      </c>
    </row>
    <row r="584" spans="1:14" x14ac:dyDescent="0.3">
      <c r="A584" s="1" t="str">
        <f>"16_647-11/2024/Б"</f>
        <v>16_647-11/2024/Б</v>
      </c>
      <c r="B584" s="6">
        <v>45601</v>
      </c>
      <c r="C584" s="1" t="str">
        <f>"00064"</f>
        <v>00064</v>
      </c>
      <c r="D584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584" s="1" t="s">
        <v>20</v>
      </c>
      <c r="F584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584" s="1" t="str">
        <f t="shared" si="87"/>
        <v>Фізична особа</v>
      </c>
      <c r="H584" s="1" t="s">
        <v>20</v>
      </c>
      <c r="I584" s="1" t="s">
        <v>20</v>
      </c>
      <c r="J584" s="1" t="str">
        <f t="shared" si="90"/>
        <v>Закрито</v>
      </c>
      <c r="K584" s="5">
        <v>45601</v>
      </c>
      <c r="L584" s="1" t="s">
        <v>20</v>
      </c>
      <c r="M584" s="1" t="s">
        <v>22</v>
      </c>
      <c r="N584" s="5">
        <v>45601</v>
      </c>
    </row>
    <row r="585" spans="1:14" x14ac:dyDescent="0.3">
      <c r="A585" s="1" t="str">
        <f>"16_648-11/2024/Б"</f>
        <v>16_648-11/2024/Б</v>
      </c>
      <c r="B585" s="6">
        <v>45601</v>
      </c>
      <c r="C585" s="1" t="str">
        <f>"00133"</f>
        <v>00133</v>
      </c>
      <c r="D585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585" s="1" t="str">
        <f>"03193413"</f>
        <v>03193413</v>
      </c>
      <c r="F58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585" s="1" t="str">
        <f t="shared" si="87"/>
        <v>Фізична особа</v>
      </c>
      <c r="H585" s="1" t="s">
        <v>20</v>
      </c>
      <c r="I585" s="1" t="s">
        <v>20</v>
      </c>
      <c r="J585" s="1" t="str">
        <f t="shared" si="90"/>
        <v>Закрито</v>
      </c>
      <c r="K585" s="5">
        <v>45639</v>
      </c>
      <c r="L585" s="1" t="s">
        <v>20</v>
      </c>
      <c r="M585" s="1" t="s">
        <v>22</v>
      </c>
      <c r="N585" s="5">
        <v>45639</v>
      </c>
    </row>
    <row r="586" spans="1:14" x14ac:dyDescent="0.3">
      <c r="A586" s="1" t="str">
        <f>"2_1900/2129-11/2024/Г"</f>
        <v>2_1900/2129-11/2024/Г</v>
      </c>
      <c r="B586" s="6">
        <v>45601</v>
      </c>
      <c r="C586" s="1" t="str">
        <f>"00047"</f>
        <v>00047</v>
      </c>
      <c r="D586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586" s="1" t="s">
        <v>20</v>
      </c>
      <c r="F586" s="1" t="str">
        <f t="shared" ref="F586:F591" si="9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86" s="1" t="str">
        <f t="shared" si="87"/>
        <v>Фізична особа</v>
      </c>
      <c r="H586" s="1" t="s">
        <v>20</v>
      </c>
      <c r="I586" s="1" t="s">
        <v>20</v>
      </c>
      <c r="J586" s="1" t="str">
        <f t="shared" si="90"/>
        <v>Закрито</v>
      </c>
      <c r="K586" s="5">
        <v>45602</v>
      </c>
      <c r="L586" s="1" t="s">
        <v>20</v>
      </c>
      <c r="M586" s="1" t="s">
        <v>22</v>
      </c>
      <c r="N586" s="5">
        <v>45602</v>
      </c>
    </row>
    <row r="587" spans="1:14" x14ac:dyDescent="0.3">
      <c r="A587" s="1" t="str">
        <f>"2_1901/2129-11/2024/Г"</f>
        <v>2_1901/2129-11/2024/Г</v>
      </c>
      <c r="B587" s="6">
        <v>45601</v>
      </c>
      <c r="C587" s="1" t="str">
        <f>"00042"</f>
        <v>00042</v>
      </c>
      <c r="D587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587" s="1" t="s">
        <v>20</v>
      </c>
      <c r="F587" s="1" t="str">
        <f t="shared" si="91"/>
        <v>Центр надання адміністративних послуг Рогатинської міської ради</v>
      </c>
      <c r="G587" s="1" t="str">
        <f t="shared" si="87"/>
        <v>Фізична особа</v>
      </c>
      <c r="H587" s="1" t="s">
        <v>20</v>
      </c>
      <c r="I587" s="1" t="s">
        <v>20</v>
      </c>
      <c r="J587" s="1" t="str">
        <f t="shared" si="90"/>
        <v>Закрито</v>
      </c>
      <c r="K587" s="5">
        <v>45602</v>
      </c>
      <c r="L587" s="1" t="s">
        <v>20</v>
      </c>
      <c r="M587" s="1" t="s">
        <v>22</v>
      </c>
      <c r="N587" s="5">
        <v>45602</v>
      </c>
    </row>
    <row r="588" spans="1:14" x14ac:dyDescent="0.3">
      <c r="A588" s="1" t="str">
        <f>"2_1902/2129-11/2024/Г"</f>
        <v>2_1902/2129-11/2024/Г</v>
      </c>
      <c r="B588" s="6">
        <v>45601</v>
      </c>
      <c r="C588" s="1" t="str">
        <f>"00042"</f>
        <v>00042</v>
      </c>
      <c r="D588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588" s="1" t="s">
        <v>20</v>
      </c>
      <c r="F588" s="1" t="str">
        <f t="shared" si="91"/>
        <v>Центр надання адміністративних послуг Рогатинської міської ради</v>
      </c>
      <c r="G588" s="1" t="str">
        <f t="shared" si="87"/>
        <v>Фізична особа</v>
      </c>
      <c r="H588" s="1" t="s">
        <v>20</v>
      </c>
      <c r="I588" s="1" t="s">
        <v>20</v>
      </c>
      <c r="J588" s="1" t="str">
        <f t="shared" si="90"/>
        <v>Закрито</v>
      </c>
      <c r="K588" s="5">
        <v>45602</v>
      </c>
      <c r="L588" s="1" t="s">
        <v>20</v>
      </c>
      <c r="M588" s="1" t="s">
        <v>22</v>
      </c>
      <c r="N588" s="5">
        <v>45602</v>
      </c>
    </row>
    <row r="589" spans="1:14" x14ac:dyDescent="0.3">
      <c r="A589" s="1" t="str">
        <f>"2_1903/2129-11/2024/Ч"</f>
        <v>2_1903/2129-11/2024/Ч</v>
      </c>
      <c r="B589" s="6">
        <v>45601</v>
      </c>
      <c r="C589" s="1" t="str">
        <f>"00042"</f>
        <v>00042</v>
      </c>
      <c r="D589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589" s="1" t="s">
        <v>20</v>
      </c>
      <c r="F589" s="1" t="str">
        <f t="shared" si="91"/>
        <v>Центр надання адміністративних послуг Рогатинської міської ради</v>
      </c>
      <c r="G589" s="1" t="str">
        <f t="shared" si="87"/>
        <v>Фізична особа</v>
      </c>
      <c r="H589" s="1" t="s">
        <v>20</v>
      </c>
      <c r="I589" s="1" t="s">
        <v>20</v>
      </c>
      <c r="J589" s="1" t="str">
        <f t="shared" si="90"/>
        <v>Закрито</v>
      </c>
      <c r="K589" s="5">
        <v>45602</v>
      </c>
      <c r="L589" s="1" t="s">
        <v>20</v>
      </c>
      <c r="M589" s="1" t="s">
        <v>22</v>
      </c>
      <c r="N589" s="5">
        <v>45602</v>
      </c>
    </row>
    <row r="590" spans="1:14" x14ac:dyDescent="0.3">
      <c r="A590" s="1" t="str">
        <f>"2_1904/2129-11/2024/Т"</f>
        <v>2_1904/2129-11/2024/Т</v>
      </c>
      <c r="B590" s="6">
        <v>45601</v>
      </c>
      <c r="C590" s="1" t="str">
        <f>"00041"</f>
        <v>00041</v>
      </c>
      <c r="D59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90" s="1" t="s">
        <v>20</v>
      </c>
      <c r="F590" s="1" t="str">
        <f t="shared" si="91"/>
        <v>Центр надання адміністративних послуг Рогатинської міської ради</v>
      </c>
      <c r="G590" s="1" t="str">
        <f t="shared" si="87"/>
        <v>Фізична особа</v>
      </c>
      <c r="H590" s="1" t="s">
        <v>20</v>
      </c>
      <c r="I590" s="1" t="s">
        <v>20</v>
      </c>
      <c r="J590" s="1" t="str">
        <f t="shared" si="90"/>
        <v>Закрито</v>
      </c>
      <c r="K590" s="5">
        <v>45602</v>
      </c>
      <c r="L590" s="1" t="s">
        <v>20</v>
      </c>
      <c r="M590" s="1" t="s">
        <v>22</v>
      </c>
      <c r="N590" s="5">
        <v>45602</v>
      </c>
    </row>
    <row r="591" spans="1:14" x14ac:dyDescent="0.3">
      <c r="A591" s="1" t="str">
        <f>"2_1905/2129-11/2024/Т"</f>
        <v>2_1905/2129-11/2024/Т</v>
      </c>
      <c r="B591" s="6">
        <v>45601</v>
      </c>
      <c r="C591" s="1" t="str">
        <f>"00041"</f>
        <v>00041</v>
      </c>
      <c r="D59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91" s="1" t="s">
        <v>20</v>
      </c>
      <c r="F591" s="1" t="str">
        <f t="shared" si="91"/>
        <v>Центр надання адміністративних послуг Рогатинської міської ради</v>
      </c>
      <c r="G591" s="1" t="str">
        <f t="shared" si="87"/>
        <v>Фізична особа</v>
      </c>
      <c r="H591" s="1" t="s">
        <v>20</v>
      </c>
      <c r="I591" s="1" t="s">
        <v>20</v>
      </c>
      <c r="J591" s="1" t="str">
        <f t="shared" si="90"/>
        <v>Закрито</v>
      </c>
      <c r="K591" s="5">
        <v>45602</v>
      </c>
      <c r="L591" s="1" t="s">
        <v>20</v>
      </c>
      <c r="M591" s="1" t="s">
        <v>22</v>
      </c>
      <c r="N591" s="5">
        <v>45602</v>
      </c>
    </row>
    <row r="592" spans="1:14" x14ac:dyDescent="0.3">
      <c r="A592" s="1" t="str">
        <f>"19_511-11/2024/М"</f>
        <v>19_511-11/2024/М</v>
      </c>
      <c r="B592" s="6">
        <v>45601</v>
      </c>
      <c r="C592" s="1" t="str">
        <f>"00155"</f>
        <v>00155</v>
      </c>
      <c r="D592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592" s="1" t="str">
        <f>"03193413"</f>
        <v>03193413</v>
      </c>
      <c r="F59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592" s="1" t="str">
        <f t="shared" si="87"/>
        <v>Фізична особа</v>
      </c>
      <c r="H592" s="1" t="s">
        <v>20</v>
      </c>
      <c r="I592" s="1" t="s">
        <v>20</v>
      </c>
      <c r="J592" s="1" t="str">
        <f t="shared" si="90"/>
        <v>Закрито</v>
      </c>
      <c r="K592" s="5">
        <v>45646</v>
      </c>
      <c r="L592" s="1" t="s">
        <v>20</v>
      </c>
      <c r="M592" s="1" t="s">
        <v>22</v>
      </c>
      <c r="N592" s="5">
        <v>45646</v>
      </c>
    </row>
    <row r="593" spans="1:14" x14ac:dyDescent="0.3">
      <c r="A593" s="1" t="str">
        <f>"19_512-11/2024/М"</f>
        <v>19_512-11/2024/М</v>
      </c>
      <c r="B593" s="6">
        <v>45601</v>
      </c>
      <c r="C593" s="1" t="str">
        <f>"33"</f>
        <v>33</v>
      </c>
      <c r="D593" s="2" t="str">
        <f>"33 Довідки різного характеру"</f>
        <v>33 Довідки різного характеру</v>
      </c>
      <c r="E593" s="1" t="s">
        <v>20</v>
      </c>
      <c r="F59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93" s="1" t="str">
        <f t="shared" si="87"/>
        <v>Фізична особа</v>
      </c>
      <c r="H593" s="1" t="s">
        <v>20</v>
      </c>
      <c r="I593" s="1" t="s">
        <v>20</v>
      </c>
      <c r="J593" s="1" t="str">
        <f t="shared" si="90"/>
        <v>Закрито</v>
      </c>
      <c r="K593" s="5">
        <v>45601</v>
      </c>
      <c r="L593" s="1" t="s">
        <v>20</v>
      </c>
      <c r="M593" s="1" t="s">
        <v>22</v>
      </c>
      <c r="N593" s="5">
        <v>45601</v>
      </c>
    </row>
    <row r="594" spans="1:14" x14ac:dyDescent="0.3">
      <c r="A594" s="1" t="str">
        <f>"2_1906/2129-11/2024/К"</f>
        <v>2_1906/2129-11/2024/К</v>
      </c>
      <c r="B594" s="6">
        <v>45601</v>
      </c>
      <c r="C594" s="1" t="str">
        <f>"00041"</f>
        <v>00041</v>
      </c>
      <c r="D59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94" s="1" t="s">
        <v>20</v>
      </c>
      <c r="F5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94" s="1" t="str">
        <f t="shared" si="87"/>
        <v>Фізична особа</v>
      </c>
      <c r="H594" s="1" t="s">
        <v>20</v>
      </c>
      <c r="I594" s="1" t="s">
        <v>20</v>
      </c>
      <c r="J594" s="1" t="str">
        <f t="shared" si="90"/>
        <v>Закрито</v>
      </c>
      <c r="K594" s="5">
        <v>45602</v>
      </c>
      <c r="L594" s="1" t="s">
        <v>20</v>
      </c>
      <c r="M594" s="1" t="s">
        <v>22</v>
      </c>
      <c r="N594" s="5">
        <v>45602</v>
      </c>
    </row>
    <row r="595" spans="1:14" x14ac:dyDescent="0.3">
      <c r="A595" s="1" t="str">
        <f>"2_1907/2129-11/2024/К"</f>
        <v>2_1907/2129-11/2024/К</v>
      </c>
      <c r="B595" s="6">
        <v>45601</v>
      </c>
      <c r="C595" s="1" t="str">
        <f>"00041"</f>
        <v>00041</v>
      </c>
      <c r="D59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595" s="1" t="s">
        <v>20</v>
      </c>
      <c r="F59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95" s="1" t="str">
        <f t="shared" si="87"/>
        <v>Фізична особа</v>
      </c>
      <c r="H595" s="1" t="s">
        <v>20</v>
      </c>
      <c r="I595" s="1" t="s">
        <v>20</v>
      </c>
      <c r="J595" s="1" t="str">
        <f t="shared" si="90"/>
        <v>Закрито</v>
      </c>
      <c r="K595" s="5">
        <v>45602</v>
      </c>
      <c r="L595" s="1" t="s">
        <v>20</v>
      </c>
      <c r="M595" s="1" t="s">
        <v>22</v>
      </c>
      <c r="N595" s="5">
        <v>45602</v>
      </c>
    </row>
    <row r="596" spans="1:14" x14ac:dyDescent="0.3">
      <c r="A596" s="1" t="str">
        <f>"26_356-11/2024/Ю"</f>
        <v>26_356-11/2024/Ю</v>
      </c>
      <c r="B596" s="6">
        <v>45601</v>
      </c>
      <c r="C596" s="1" t="str">
        <f>"00155"</f>
        <v>00155</v>
      </c>
      <c r="D596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596" s="1" t="str">
        <f>"03193413"</f>
        <v>03193413</v>
      </c>
      <c r="F59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596" s="1" t="str">
        <f t="shared" si="87"/>
        <v>Фізична особа</v>
      </c>
      <c r="H596" s="1" t="s">
        <v>20</v>
      </c>
      <c r="I596" s="1" t="s">
        <v>20</v>
      </c>
      <c r="J596" s="1" t="str">
        <f>"На обробці в СНАП"</f>
        <v>На обробці в СНАП</v>
      </c>
      <c r="K596" s="1" t="s">
        <v>20</v>
      </c>
      <c r="L596" s="1" t="s">
        <v>20</v>
      </c>
      <c r="M596" s="1" t="s">
        <v>22</v>
      </c>
      <c r="N596" s="1" t="s">
        <v>20</v>
      </c>
    </row>
    <row r="597" spans="1:14" x14ac:dyDescent="0.3">
      <c r="A597" s="1" t="str">
        <f>"14_950-11/2024/Х"</f>
        <v>14_950-11/2024/Х</v>
      </c>
      <c r="B597" s="6">
        <v>45601</v>
      </c>
      <c r="C597" s="1" t="str">
        <f>"33"</f>
        <v>33</v>
      </c>
      <c r="D597" s="2" t="str">
        <f>"33 Довідки різного характеру"</f>
        <v>33 Довідки різного характеру</v>
      </c>
      <c r="E597" s="1" t="s">
        <v>20</v>
      </c>
      <c r="F59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597" s="1" t="str">
        <f t="shared" si="87"/>
        <v>Фізична особа</v>
      </c>
      <c r="H597" s="1" t="s">
        <v>20</v>
      </c>
      <c r="I597" s="1" t="s">
        <v>20</v>
      </c>
      <c r="J597" s="1" t="str">
        <f>"Закрито"</f>
        <v>Закрито</v>
      </c>
      <c r="K597" s="5">
        <v>45601</v>
      </c>
      <c r="L597" s="1" t="s">
        <v>20</v>
      </c>
      <c r="M597" s="1" t="s">
        <v>22</v>
      </c>
      <c r="N597" s="5">
        <v>45601</v>
      </c>
    </row>
    <row r="598" spans="1:14" x14ac:dyDescent="0.3">
      <c r="A598" s="1" t="str">
        <f>"3_825-11/2024/Х"</f>
        <v>3_825-11/2024/Х</v>
      </c>
      <c r="B598" s="6">
        <v>45601</v>
      </c>
      <c r="C598" s="1" t="str">
        <f>"00155"</f>
        <v>00155</v>
      </c>
      <c r="D598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598" s="1" t="str">
        <f>"03193413"</f>
        <v>03193413</v>
      </c>
      <c r="F59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598" s="1" t="str">
        <f t="shared" si="87"/>
        <v>Фізична особа</v>
      </c>
      <c r="H598" s="1" t="s">
        <v>20</v>
      </c>
      <c r="I598" s="1" t="s">
        <v>20</v>
      </c>
      <c r="J598" s="1" t="str">
        <f>"Закрито"</f>
        <v>Закрито</v>
      </c>
      <c r="K598" s="5">
        <v>45614</v>
      </c>
      <c r="L598" s="1" t="s">
        <v>20</v>
      </c>
      <c r="M598" s="1" t="s">
        <v>22</v>
      </c>
      <c r="N598" s="5">
        <v>45614</v>
      </c>
    </row>
    <row r="599" spans="1:14" x14ac:dyDescent="0.3">
      <c r="A599" s="1" t="str">
        <f>"4_1229/03193413-11/2024/я"</f>
        <v>4_1229/03193413-11/2024/я</v>
      </c>
      <c r="B599" s="6">
        <v>45601</v>
      </c>
      <c r="C599" s="1" t="str">
        <f>"00103"</f>
        <v>00103</v>
      </c>
      <c r="D599" s="2" t="s">
        <v>1</v>
      </c>
      <c r="E599" s="1" t="str">
        <f>"03193413"</f>
        <v>03193413</v>
      </c>
      <c r="F59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599" s="1" t="str">
        <f t="shared" si="87"/>
        <v>Фізична особа</v>
      </c>
      <c r="H599" s="1" t="s">
        <v>20</v>
      </c>
      <c r="I599" s="1" t="s">
        <v>20</v>
      </c>
      <c r="J599" s="1" t="str">
        <f>"Закрито"</f>
        <v>Закрито</v>
      </c>
      <c r="K599" s="5">
        <v>45601</v>
      </c>
      <c r="L599" s="1" t="s">
        <v>20</v>
      </c>
      <c r="M599" s="1" t="s">
        <v>22</v>
      </c>
      <c r="N599" s="5">
        <v>45601</v>
      </c>
    </row>
    <row r="600" spans="1:14" x14ac:dyDescent="0.3">
      <c r="A600" s="1" t="str">
        <f>"1_5642/2129-11/2024/З"</f>
        <v>1_5642/2129-11/2024/З</v>
      </c>
      <c r="B600" s="6">
        <v>45601</v>
      </c>
      <c r="C600" s="1" t="str">
        <f>"00034"</f>
        <v>00034</v>
      </c>
      <c r="D600" s="2" t="str">
        <f>"Реєстрація місця проживання"</f>
        <v>Реєстрація місця проживання</v>
      </c>
      <c r="E600" s="1" t="s">
        <v>20</v>
      </c>
      <c r="F60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00" s="1" t="str">
        <f t="shared" si="87"/>
        <v>Фізична особа</v>
      </c>
      <c r="H600" s="1" t="s">
        <v>20</v>
      </c>
      <c r="I600" s="1" t="s">
        <v>20</v>
      </c>
      <c r="J600" s="1" t="str">
        <f>"Закрито"</f>
        <v>Закрито</v>
      </c>
      <c r="K600" s="6">
        <v>45601</v>
      </c>
      <c r="L600" s="1" t="str">
        <f>"75.0"</f>
        <v>75.0</v>
      </c>
      <c r="M600" s="1" t="s">
        <v>22</v>
      </c>
      <c r="N600" s="5">
        <v>45601</v>
      </c>
    </row>
    <row r="601" spans="1:14" x14ac:dyDescent="0.3">
      <c r="A601" s="1" t="str">
        <f>"9_1596/04054323-11/2024/С"</f>
        <v>9_1596/04054323-11/2024/С</v>
      </c>
      <c r="B601" s="6">
        <v>45601</v>
      </c>
      <c r="C601" s="1" t="str">
        <f>"01-1"</f>
        <v>01-1</v>
      </c>
      <c r="D601" s="2" t="s">
        <v>0</v>
      </c>
      <c r="E601" s="1" t="str">
        <f>"04054323"</f>
        <v>04054323</v>
      </c>
      <c r="F601" s="1" t="str">
        <f>"Рогатинська міська рада"</f>
        <v>Рогатинська міська рада</v>
      </c>
      <c r="G601" s="1" t="str">
        <f t="shared" si="87"/>
        <v>Фізична особа</v>
      </c>
      <c r="H601" s="1" t="s">
        <v>20</v>
      </c>
      <c r="I601" s="1" t="s">
        <v>20</v>
      </c>
      <c r="J601" s="1" t="str">
        <f>"Закрито"</f>
        <v>Закрито</v>
      </c>
      <c r="K601" s="5">
        <v>45637</v>
      </c>
      <c r="L601" s="1" t="s">
        <v>20</v>
      </c>
      <c r="M601" s="1" t="s">
        <v>22</v>
      </c>
      <c r="N601" s="5">
        <v>45637</v>
      </c>
    </row>
    <row r="602" spans="1:14" x14ac:dyDescent="0.3">
      <c r="A602" s="1" t="str">
        <f>"26_357-11/2024/С"</f>
        <v>26_357-11/2024/С</v>
      </c>
      <c r="B602" s="6">
        <v>45601</v>
      </c>
      <c r="C602" s="1" t="str">
        <f>"00155"</f>
        <v>00155</v>
      </c>
      <c r="D602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02" s="1" t="str">
        <f>"03193413"</f>
        <v>03193413</v>
      </c>
      <c r="F60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02" s="1" t="str">
        <f t="shared" si="87"/>
        <v>Фізична особа</v>
      </c>
      <c r="H602" s="1" t="s">
        <v>20</v>
      </c>
      <c r="I602" s="1" t="s">
        <v>20</v>
      </c>
      <c r="J602" s="1" t="str">
        <f>"На обробці в СНАП"</f>
        <v>На обробці в СНАП</v>
      </c>
      <c r="K602" s="1" t="s">
        <v>20</v>
      </c>
      <c r="L602" s="1" t="s">
        <v>20</v>
      </c>
      <c r="M602" s="1" t="s">
        <v>22</v>
      </c>
      <c r="N602" s="1" t="s">
        <v>20</v>
      </c>
    </row>
    <row r="603" spans="1:14" x14ac:dyDescent="0.3">
      <c r="A603" s="1" t="str">
        <f>"9_1597/04054323-11/2024/Т"</f>
        <v>9_1597/04054323-11/2024/Т</v>
      </c>
      <c r="B603" s="6">
        <v>45601</v>
      </c>
      <c r="C603" s="1" t="str">
        <f>"00179"</f>
        <v>00179</v>
      </c>
      <c r="D603" s="2" t="str">
        <f>"Затвердження технічної документації з нормативної грошової оцінки земельної ділянки у межах населених пунктів"</f>
        <v>Затвердження технічної документації з нормативної грошової оцінки земельної ділянки у межах населених пунктів</v>
      </c>
      <c r="E603" s="1" t="str">
        <f>"04054323"</f>
        <v>04054323</v>
      </c>
      <c r="F603" s="1" t="str">
        <f>"Рогатинська міська рада"</f>
        <v>Рогатинська міська рада</v>
      </c>
      <c r="G603" s="1" t="str">
        <f>"Юридична особа"</f>
        <v>Юридична особа</v>
      </c>
      <c r="H603" s="1" t="str">
        <f>"ТзОВ ""Корпорація ""Галпродукт"""</f>
        <v>ТзОВ "Корпорація "Галпродукт"</v>
      </c>
      <c r="I603" s="1" t="str">
        <f>"30314327"</f>
        <v>30314327</v>
      </c>
      <c r="J603" s="1" t="str">
        <f>"На обробці в СНАП"</f>
        <v>На обробці в СНАП</v>
      </c>
      <c r="K603" s="1" t="s">
        <v>20</v>
      </c>
      <c r="L603" s="1" t="s">
        <v>20</v>
      </c>
      <c r="M603" s="1" t="s">
        <v>22</v>
      </c>
      <c r="N603" s="1" t="s">
        <v>20</v>
      </c>
    </row>
    <row r="604" spans="1:14" x14ac:dyDescent="0.3">
      <c r="A604" s="1" t="str">
        <f>"3_1330/4-11/2024/М"</f>
        <v>3_1330/4-11/2024/М</v>
      </c>
      <c r="B604" s="6">
        <v>45601</v>
      </c>
      <c r="C604" s="1" t="str">
        <f>"00060"</f>
        <v>00060</v>
      </c>
      <c r="D604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604" s="1" t="s">
        <v>20</v>
      </c>
      <c r="F604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604" s="1" t="str">
        <f>"Фізична особа"</f>
        <v>Фізична особа</v>
      </c>
      <c r="H604" s="1" t="s">
        <v>20</v>
      </c>
      <c r="I604" s="1" t="s">
        <v>20</v>
      </c>
      <c r="J604" s="1" t="str">
        <f>"Результат підготовлено СНАП"</f>
        <v>Результат підготовлено СНАП</v>
      </c>
      <c r="K604" s="5">
        <v>45614</v>
      </c>
      <c r="L604" s="1" t="str">
        <f>"151.4"</f>
        <v>151.4</v>
      </c>
      <c r="M604" s="1" t="s">
        <v>22</v>
      </c>
      <c r="N604" s="1" t="s">
        <v>20</v>
      </c>
    </row>
    <row r="605" spans="1:14" x14ac:dyDescent="0.3">
      <c r="A605" s="1" t="str">
        <f>"7_252/2129-11/2024/Р"</f>
        <v>7_252/2129-11/2024/Р</v>
      </c>
      <c r="B605" s="6">
        <v>45601</v>
      </c>
      <c r="C605" s="1" t="str">
        <f>"33"</f>
        <v>33</v>
      </c>
      <c r="D605" s="2" t="str">
        <f>"33 Довідки різного характеру"</f>
        <v>33 Довідки різного характеру</v>
      </c>
      <c r="E605" s="1" t="s">
        <v>20</v>
      </c>
      <c r="F60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05" s="1" t="str">
        <f>"Юридична особа"</f>
        <v>Юридична особа</v>
      </c>
      <c r="H605" s="1" t="str">
        <f>"Рогатинський районний суд"</f>
        <v>Рогатинський районний суд</v>
      </c>
      <c r="I605" s="1" t="str">
        <f>"02891546"</f>
        <v>02891546</v>
      </c>
      <c r="J605" s="1" t="str">
        <f>"Закрито"</f>
        <v>Закрито</v>
      </c>
      <c r="K605" s="5">
        <v>45601</v>
      </c>
      <c r="L605" s="1" t="s">
        <v>20</v>
      </c>
      <c r="M605" s="1" t="s">
        <v>22</v>
      </c>
      <c r="N605" s="5">
        <v>45601</v>
      </c>
    </row>
    <row r="606" spans="1:14" x14ac:dyDescent="0.3">
      <c r="A606" s="1" t="str">
        <f>"9_1598/04054323-11/2024/Т"</f>
        <v>9_1598/04054323-11/2024/Т</v>
      </c>
      <c r="B606" s="6">
        <v>45601</v>
      </c>
      <c r="C606" s="1" t="str">
        <f>"00182"</f>
        <v>00182</v>
      </c>
      <c r="D606" s="2" t="str">
        <f>"Затвердження проекту землеустрою щодо відведення земельної ділянки"</f>
        <v>Затвердження проекту землеустрою щодо відведення земельної ділянки</v>
      </c>
      <c r="E606" s="1" t="str">
        <f>"04054323"</f>
        <v>04054323</v>
      </c>
      <c r="F606" s="1" t="str">
        <f>"Рогатинська міська рада"</f>
        <v>Рогатинська міська рада</v>
      </c>
      <c r="G606" s="1" t="str">
        <f>"Юридична особа"</f>
        <v>Юридична особа</v>
      </c>
      <c r="H606" s="1" t="str">
        <f>"ТзОВ ""Корпорація ""Галпродукт"""</f>
        <v>ТзОВ "Корпорація "Галпродукт"</v>
      </c>
      <c r="I606" s="1" t="s">
        <v>20</v>
      </c>
      <c r="J606" s="1" t="str">
        <f>"На обробці в СНАП"</f>
        <v>На обробці в СНАП</v>
      </c>
      <c r="K606" s="1" t="s">
        <v>20</v>
      </c>
      <c r="L606" s="1" t="s">
        <v>20</v>
      </c>
      <c r="M606" s="1" t="s">
        <v>22</v>
      </c>
      <c r="N606" s="1" t="s">
        <v>20</v>
      </c>
    </row>
    <row r="607" spans="1:14" x14ac:dyDescent="0.3">
      <c r="A607" s="1" t="str">
        <f>"1_5643/2129-11/2024/З"</f>
        <v>1_5643/2129-11/2024/З</v>
      </c>
      <c r="B607" s="6">
        <v>45601</v>
      </c>
      <c r="C607" s="1" t="str">
        <f>"00038"</f>
        <v>00038</v>
      </c>
      <c r="D60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07" s="1" t="s">
        <v>20</v>
      </c>
      <c r="F60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07" s="1" t="str">
        <f t="shared" ref="G607:G638" si="92">"Фізична особа"</f>
        <v>Фізична особа</v>
      </c>
      <c r="H607" s="1" t="s">
        <v>20</v>
      </c>
      <c r="I607" s="1" t="s">
        <v>20</v>
      </c>
      <c r="J607" s="1" t="str">
        <f t="shared" ref="J607:J624" si="93">"Закрито"</f>
        <v>Закрито</v>
      </c>
      <c r="K607" s="6">
        <v>45601</v>
      </c>
      <c r="L607" s="1" t="s">
        <v>20</v>
      </c>
      <c r="M607" s="1" t="s">
        <v>22</v>
      </c>
      <c r="N607" s="5">
        <v>45601</v>
      </c>
    </row>
    <row r="608" spans="1:14" x14ac:dyDescent="0.3">
      <c r="A608" s="1" t="str">
        <f>"1_5644/2129-11/2024/В"</f>
        <v>1_5644/2129-11/2024/В</v>
      </c>
      <c r="B608" s="6">
        <v>45601</v>
      </c>
      <c r="C608" s="1" t="str">
        <f>"00038"</f>
        <v>00038</v>
      </c>
      <c r="D60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08" s="1" t="s">
        <v>20</v>
      </c>
      <c r="F60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08" s="1" t="str">
        <f t="shared" si="92"/>
        <v>Фізична особа</v>
      </c>
      <c r="H608" s="1" t="s">
        <v>20</v>
      </c>
      <c r="I608" s="1" t="s">
        <v>20</v>
      </c>
      <c r="J608" s="1" t="str">
        <f t="shared" si="93"/>
        <v>Закрито</v>
      </c>
      <c r="K608" s="6">
        <v>45601</v>
      </c>
      <c r="L608" s="1" t="s">
        <v>20</v>
      </c>
      <c r="M608" s="1" t="s">
        <v>22</v>
      </c>
      <c r="N608" s="5">
        <v>45601</v>
      </c>
    </row>
    <row r="609" spans="1:14" x14ac:dyDescent="0.3">
      <c r="A609" s="1" t="str">
        <f>"1_5645/2129-11/2024/В"</f>
        <v>1_5645/2129-11/2024/В</v>
      </c>
      <c r="B609" s="6">
        <v>45601</v>
      </c>
      <c r="C609" s="1" t="str">
        <f>"00038"</f>
        <v>00038</v>
      </c>
      <c r="D60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09" s="1" t="s">
        <v>20</v>
      </c>
      <c r="F60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09" s="1" t="str">
        <f t="shared" si="92"/>
        <v>Фізична особа</v>
      </c>
      <c r="H609" s="1" t="s">
        <v>20</v>
      </c>
      <c r="I609" s="1" t="s">
        <v>20</v>
      </c>
      <c r="J609" s="1" t="str">
        <f t="shared" si="93"/>
        <v>Закрито</v>
      </c>
      <c r="K609" s="6">
        <v>45601</v>
      </c>
      <c r="L609" s="1" t="s">
        <v>20</v>
      </c>
      <c r="M609" s="1" t="s">
        <v>22</v>
      </c>
      <c r="N609" s="5">
        <v>45601</v>
      </c>
    </row>
    <row r="610" spans="1:14" x14ac:dyDescent="0.3">
      <c r="A610" s="1" t="str">
        <f>"30_595-11/2024/К"</f>
        <v>30_595-11/2024/К</v>
      </c>
      <c r="B610" s="6">
        <v>45601</v>
      </c>
      <c r="C610" s="1" t="str">
        <f>"00150"</f>
        <v>00150</v>
      </c>
      <c r="D610" s="2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610" s="1" t="str">
        <f>"03193413"</f>
        <v>03193413</v>
      </c>
      <c r="F61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10" s="1" t="str">
        <f t="shared" si="92"/>
        <v>Фізична особа</v>
      </c>
      <c r="H610" s="1" t="s">
        <v>20</v>
      </c>
      <c r="I610" s="1" t="s">
        <v>20</v>
      </c>
      <c r="J610" s="1" t="str">
        <f t="shared" si="93"/>
        <v>Закрито</v>
      </c>
      <c r="K610" s="5">
        <v>45653</v>
      </c>
      <c r="L610" s="1" t="s">
        <v>20</v>
      </c>
      <c r="M610" s="1" t="s">
        <v>22</v>
      </c>
      <c r="N610" s="5">
        <v>45653</v>
      </c>
    </row>
    <row r="611" spans="1:14" x14ac:dyDescent="0.3">
      <c r="A611" s="1" t="str">
        <f>"35_499-11/2024/Т"</f>
        <v>35_499-11/2024/Т</v>
      </c>
      <c r="B611" s="6">
        <v>45601</v>
      </c>
      <c r="C611" s="1" t="str">
        <f>"33"</f>
        <v>33</v>
      </c>
      <c r="D611" s="2" t="str">
        <f>"33 Довідки різного характеру"</f>
        <v>33 Довідки різного характеру</v>
      </c>
      <c r="E611" s="1" t="s">
        <v>20</v>
      </c>
      <c r="F61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11" s="1" t="str">
        <f t="shared" si="92"/>
        <v>Фізична особа</v>
      </c>
      <c r="H611" s="1" t="s">
        <v>20</v>
      </c>
      <c r="I611" s="1" t="s">
        <v>20</v>
      </c>
      <c r="J611" s="1" t="str">
        <f t="shared" si="93"/>
        <v>Закрито</v>
      </c>
      <c r="K611" s="5">
        <v>45601</v>
      </c>
      <c r="L611" s="1" t="s">
        <v>20</v>
      </c>
      <c r="M611" s="1" t="s">
        <v>22</v>
      </c>
      <c r="N611" s="5">
        <v>45601</v>
      </c>
    </row>
    <row r="612" spans="1:14" x14ac:dyDescent="0.3">
      <c r="A612" s="1" t="str">
        <f>"30_596-11/2024/К"</f>
        <v>30_596-11/2024/К</v>
      </c>
      <c r="B612" s="6">
        <v>45601</v>
      </c>
      <c r="C612" s="1" t="str">
        <f>"00133"</f>
        <v>00133</v>
      </c>
      <c r="D612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612" s="1" t="str">
        <f>"03193413"</f>
        <v>03193413</v>
      </c>
      <c r="F61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12" s="1" t="str">
        <f t="shared" si="92"/>
        <v>Фізична особа</v>
      </c>
      <c r="H612" s="1" t="s">
        <v>20</v>
      </c>
      <c r="I612" s="1" t="s">
        <v>20</v>
      </c>
      <c r="J612" s="1" t="str">
        <f t="shared" si="93"/>
        <v>Закрито</v>
      </c>
      <c r="K612" s="5">
        <v>45653</v>
      </c>
      <c r="L612" s="1" t="s">
        <v>20</v>
      </c>
      <c r="M612" s="1" t="s">
        <v>22</v>
      </c>
      <c r="N612" s="5">
        <v>45653</v>
      </c>
    </row>
    <row r="613" spans="1:14" x14ac:dyDescent="0.3">
      <c r="A613" s="1" t="str">
        <f>"1_5646/2129-11/2024/Ц"</f>
        <v>1_5646/2129-11/2024/Ц</v>
      </c>
      <c r="B613" s="6">
        <v>45601</v>
      </c>
      <c r="C613" s="1" t="str">
        <f>"00038"</f>
        <v>00038</v>
      </c>
      <c r="D61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13" s="1" t="s">
        <v>20</v>
      </c>
      <c r="F6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13" s="1" t="str">
        <f t="shared" si="92"/>
        <v>Фізична особа</v>
      </c>
      <c r="H613" s="1" t="s">
        <v>20</v>
      </c>
      <c r="I613" s="1" t="s">
        <v>20</v>
      </c>
      <c r="J613" s="1" t="str">
        <f t="shared" si="93"/>
        <v>Закрито</v>
      </c>
      <c r="K613" s="6">
        <v>45601</v>
      </c>
      <c r="L613" s="1" t="s">
        <v>20</v>
      </c>
      <c r="M613" s="1" t="s">
        <v>22</v>
      </c>
      <c r="N613" s="5">
        <v>45601</v>
      </c>
    </row>
    <row r="614" spans="1:14" x14ac:dyDescent="0.3">
      <c r="A614" s="1" t="str">
        <f>"1_675-11/2024/Б"</f>
        <v>1_675-11/2024/Б</v>
      </c>
      <c r="B614" s="6">
        <v>45601</v>
      </c>
      <c r="C614" s="1" t="str">
        <f>"33"</f>
        <v>33</v>
      </c>
      <c r="D614" s="2" t="str">
        <f>"33 Довідки різного характеру"</f>
        <v>33 Довідки різного характеру</v>
      </c>
      <c r="E614" s="1" t="s">
        <v>20</v>
      </c>
      <c r="F61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14" s="1" t="str">
        <f t="shared" si="92"/>
        <v>Фізична особа</v>
      </c>
      <c r="H614" s="1" t="s">
        <v>20</v>
      </c>
      <c r="I614" s="1" t="s">
        <v>20</v>
      </c>
      <c r="J614" s="1" t="str">
        <f t="shared" si="93"/>
        <v>Закрито</v>
      </c>
      <c r="K614" s="5">
        <v>45601</v>
      </c>
      <c r="L614" s="1" t="s">
        <v>20</v>
      </c>
      <c r="M614" s="1" t="s">
        <v>22</v>
      </c>
      <c r="N614" s="5">
        <v>45601</v>
      </c>
    </row>
    <row r="615" spans="1:14" x14ac:dyDescent="0.3">
      <c r="A615" s="1" t="str">
        <f>"1_676-11/2024/М"</f>
        <v>1_676-11/2024/М</v>
      </c>
      <c r="B615" s="6">
        <v>45601</v>
      </c>
      <c r="C615" s="1" t="str">
        <f>"33"</f>
        <v>33</v>
      </c>
      <c r="D615" s="2" t="str">
        <f>"33 Довідки різного характеру"</f>
        <v>33 Довідки різного характеру</v>
      </c>
      <c r="E615" s="1" t="s">
        <v>20</v>
      </c>
      <c r="F61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15" s="1" t="str">
        <f t="shared" si="92"/>
        <v>Фізична особа</v>
      </c>
      <c r="H615" s="1" t="s">
        <v>20</v>
      </c>
      <c r="I615" s="1" t="s">
        <v>20</v>
      </c>
      <c r="J615" s="1" t="str">
        <f t="shared" si="93"/>
        <v>Закрито</v>
      </c>
      <c r="K615" s="5">
        <v>45601</v>
      </c>
      <c r="L615" s="1" t="s">
        <v>20</v>
      </c>
      <c r="M615" s="1" t="s">
        <v>22</v>
      </c>
      <c r="N615" s="5">
        <v>45601</v>
      </c>
    </row>
    <row r="616" spans="1:14" x14ac:dyDescent="0.3">
      <c r="A616" s="1" t="str">
        <f>"1_677-11/2024/Г"</f>
        <v>1_677-11/2024/Г</v>
      </c>
      <c r="B616" s="6">
        <v>45601</v>
      </c>
      <c r="C616" s="1" t="str">
        <f>"00038"</f>
        <v>00038</v>
      </c>
      <c r="D61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16" s="1" t="s">
        <v>20</v>
      </c>
      <c r="F61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16" s="1" t="str">
        <f t="shared" si="92"/>
        <v>Фізична особа</v>
      </c>
      <c r="H616" s="1" t="s">
        <v>20</v>
      </c>
      <c r="I616" s="1" t="s">
        <v>20</v>
      </c>
      <c r="J616" s="1" t="str">
        <f t="shared" si="93"/>
        <v>Закрито</v>
      </c>
      <c r="K616" s="5">
        <v>45601</v>
      </c>
      <c r="L616" s="1" t="s">
        <v>20</v>
      </c>
      <c r="M616" s="1" t="s">
        <v>22</v>
      </c>
      <c r="N616" s="5">
        <v>45601</v>
      </c>
    </row>
    <row r="617" spans="1:14" x14ac:dyDescent="0.3">
      <c r="A617" s="1" t="str">
        <f>"1_678-11/2024/Г"</f>
        <v>1_678-11/2024/Г</v>
      </c>
      <c r="B617" s="6">
        <v>45601</v>
      </c>
      <c r="C617" s="1" t="str">
        <f>"00064"</f>
        <v>00064</v>
      </c>
      <c r="D617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617" s="1" t="s">
        <v>20</v>
      </c>
      <c r="F617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617" s="1" t="str">
        <f t="shared" si="92"/>
        <v>Фізична особа</v>
      </c>
      <c r="H617" s="1" t="s">
        <v>20</v>
      </c>
      <c r="I617" s="1" t="s">
        <v>20</v>
      </c>
      <c r="J617" s="1" t="str">
        <f t="shared" si="93"/>
        <v>Закрито</v>
      </c>
      <c r="K617" s="5">
        <v>45601</v>
      </c>
      <c r="L617" s="1" t="s">
        <v>20</v>
      </c>
      <c r="M617" s="1" t="s">
        <v>22</v>
      </c>
      <c r="N617" s="5">
        <v>45601</v>
      </c>
    </row>
    <row r="618" spans="1:14" x14ac:dyDescent="0.3">
      <c r="A618" s="1" t="str">
        <f>"1_679-11/2024/Г"</f>
        <v>1_679-11/2024/Г</v>
      </c>
      <c r="B618" s="6">
        <v>45601</v>
      </c>
      <c r="C618" s="1" t="str">
        <f>"00155"</f>
        <v>00155</v>
      </c>
      <c r="D618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18" s="1" t="str">
        <f>"03193413"</f>
        <v>03193413</v>
      </c>
      <c r="F61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18" s="1" t="str">
        <f t="shared" si="92"/>
        <v>Фізична особа</v>
      </c>
      <c r="H618" s="1" t="s">
        <v>20</v>
      </c>
      <c r="I618" s="1" t="s">
        <v>20</v>
      </c>
      <c r="J618" s="1" t="str">
        <f t="shared" si="93"/>
        <v>Закрито</v>
      </c>
      <c r="K618" s="5">
        <v>45653</v>
      </c>
      <c r="L618" s="1" t="s">
        <v>20</v>
      </c>
      <c r="M618" s="1" t="s">
        <v>22</v>
      </c>
      <c r="N618" s="5">
        <v>45653</v>
      </c>
    </row>
    <row r="619" spans="1:14" x14ac:dyDescent="0.3">
      <c r="A619" s="1" t="str">
        <f>"1_680-11/2024/Г"</f>
        <v>1_680-11/2024/Г</v>
      </c>
      <c r="B619" s="6">
        <v>45601</v>
      </c>
      <c r="C619" s="1" t="str">
        <f>"00038"</f>
        <v>00038</v>
      </c>
      <c r="D61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19" s="1" t="s">
        <v>20</v>
      </c>
      <c r="F61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19" s="1" t="str">
        <f t="shared" si="92"/>
        <v>Фізична особа</v>
      </c>
      <c r="H619" s="1" t="s">
        <v>20</v>
      </c>
      <c r="I619" s="1" t="s">
        <v>20</v>
      </c>
      <c r="J619" s="1" t="str">
        <f t="shared" si="93"/>
        <v>Закрито</v>
      </c>
      <c r="K619" s="5">
        <v>45601</v>
      </c>
      <c r="L619" s="1" t="s">
        <v>20</v>
      </c>
      <c r="M619" s="1" t="s">
        <v>22</v>
      </c>
      <c r="N619" s="5">
        <v>45601</v>
      </c>
    </row>
    <row r="620" spans="1:14" x14ac:dyDescent="0.3">
      <c r="A620" s="1" t="str">
        <f>"1_681-11/2024/Г"</f>
        <v>1_681-11/2024/Г</v>
      </c>
      <c r="B620" s="6">
        <v>45601</v>
      </c>
      <c r="C620" s="1" t="str">
        <f>"00038"</f>
        <v>00038</v>
      </c>
      <c r="D62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20" s="1" t="s">
        <v>20</v>
      </c>
      <c r="F62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20" s="1" t="str">
        <f t="shared" si="92"/>
        <v>Фізична особа</v>
      </c>
      <c r="H620" s="1" t="s">
        <v>20</v>
      </c>
      <c r="I620" s="1" t="s">
        <v>20</v>
      </c>
      <c r="J620" s="1" t="str">
        <f t="shared" si="93"/>
        <v>Закрито</v>
      </c>
      <c r="K620" s="5">
        <v>45601</v>
      </c>
      <c r="L620" s="1" t="s">
        <v>20</v>
      </c>
      <c r="M620" s="1" t="s">
        <v>22</v>
      </c>
      <c r="N620" s="5">
        <v>45601</v>
      </c>
    </row>
    <row r="621" spans="1:14" x14ac:dyDescent="0.3">
      <c r="A621" s="1" t="str">
        <f>"1_5647/2129-11/2024/С"</f>
        <v>1_5647/2129-11/2024/С</v>
      </c>
      <c r="B621" s="6">
        <v>45601</v>
      </c>
      <c r="C621" s="1" t="str">
        <f>"00038"</f>
        <v>00038</v>
      </c>
      <c r="D62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21" s="1" t="s">
        <v>20</v>
      </c>
      <c r="F62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21" s="1" t="str">
        <f t="shared" si="92"/>
        <v>Фізична особа</v>
      </c>
      <c r="H621" s="1" t="s">
        <v>20</v>
      </c>
      <c r="I621" s="1" t="s">
        <v>20</v>
      </c>
      <c r="J621" s="1" t="str">
        <f t="shared" si="93"/>
        <v>Закрито</v>
      </c>
      <c r="K621" s="6">
        <v>45601</v>
      </c>
      <c r="L621" s="1" t="s">
        <v>20</v>
      </c>
      <c r="M621" s="1" t="s">
        <v>22</v>
      </c>
      <c r="N621" s="5">
        <v>45601</v>
      </c>
    </row>
    <row r="622" spans="1:14" x14ac:dyDescent="0.3">
      <c r="A622" s="1" t="str">
        <f>"2_1908/04054323-11/2024/К"</f>
        <v>2_1908/04054323-11/2024/К</v>
      </c>
      <c r="B622" s="6">
        <v>45601</v>
      </c>
      <c r="C622" s="1" t="str">
        <f>"00153"</f>
        <v>00153</v>
      </c>
      <c r="D622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622" s="1" t="str">
        <f>"04054323"</f>
        <v>04054323</v>
      </c>
      <c r="F622" s="1" t="str">
        <f>"Рогатинська міська рада"</f>
        <v>Рогатинська міська рада</v>
      </c>
      <c r="G622" s="1" t="str">
        <f t="shared" si="92"/>
        <v>Фізична особа</v>
      </c>
      <c r="H622" s="1" t="s">
        <v>20</v>
      </c>
      <c r="I622" s="1" t="s">
        <v>20</v>
      </c>
      <c r="J622" s="1" t="str">
        <f t="shared" si="93"/>
        <v>Закрито</v>
      </c>
      <c r="K622" s="5">
        <v>45628</v>
      </c>
      <c r="L622" s="1" t="s">
        <v>20</v>
      </c>
      <c r="M622" s="1" t="s">
        <v>22</v>
      </c>
      <c r="N622" s="5">
        <v>45628</v>
      </c>
    </row>
    <row r="623" spans="1:14" x14ac:dyDescent="0.3">
      <c r="A623" s="1" t="str">
        <f>"15_325-11/2024/В"</f>
        <v>15_325-11/2024/В</v>
      </c>
      <c r="B623" s="6">
        <v>45601</v>
      </c>
      <c r="C623" s="1" t="str">
        <f>"00064"</f>
        <v>00064</v>
      </c>
      <c r="D623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623" s="1" t="s">
        <v>20</v>
      </c>
      <c r="F623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623" s="1" t="str">
        <f t="shared" si="92"/>
        <v>Фізична особа</v>
      </c>
      <c r="H623" s="1" t="s">
        <v>20</v>
      </c>
      <c r="I623" s="1" t="s">
        <v>20</v>
      </c>
      <c r="J623" s="1" t="str">
        <f t="shared" si="93"/>
        <v>Закрито</v>
      </c>
      <c r="K623" s="5">
        <v>45601</v>
      </c>
      <c r="L623" s="1" t="s">
        <v>20</v>
      </c>
      <c r="M623" s="1" t="s">
        <v>22</v>
      </c>
      <c r="N623" s="5">
        <v>45601</v>
      </c>
    </row>
    <row r="624" spans="1:14" x14ac:dyDescent="0.3">
      <c r="A624" s="1" t="str">
        <f>"16_649-11/2024/С"</f>
        <v>16_649-11/2024/С</v>
      </c>
      <c r="B624" s="6">
        <v>45601</v>
      </c>
      <c r="C624" s="1" t="str">
        <f>"00064"</f>
        <v>00064</v>
      </c>
      <c r="D624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624" s="1" t="s">
        <v>20</v>
      </c>
      <c r="F624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624" s="1" t="str">
        <f t="shared" si="92"/>
        <v>Фізична особа</v>
      </c>
      <c r="H624" s="1" t="s">
        <v>20</v>
      </c>
      <c r="I624" s="1" t="s">
        <v>20</v>
      </c>
      <c r="J624" s="1" t="str">
        <f t="shared" si="93"/>
        <v>Закрито</v>
      </c>
      <c r="K624" s="5">
        <v>45601</v>
      </c>
      <c r="L624" s="1" t="s">
        <v>20</v>
      </c>
      <c r="M624" s="1" t="s">
        <v>22</v>
      </c>
      <c r="N624" s="5">
        <v>45601</v>
      </c>
    </row>
    <row r="625" spans="1:14" x14ac:dyDescent="0.3">
      <c r="A625" s="1" t="str">
        <f>"16_650-11/2024/С"</f>
        <v>16_650-11/2024/С</v>
      </c>
      <c r="B625" s="6">
        <v>45601</v>
      </c>
      <c r="C625" s="1" t="str">
        <f>"00155"</f>
        <v>00155</v>
      </c>
      <c r="D625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25" s="1" t="str">
        <f>"03193413"</f>
        <v>03193413</v>
      </c>
      <c r="F62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25" s="1" t="str">
        <f t="shared" si="92"/>
        <v>Фізична особа</v>
      </c>
      <c r="H625" s="1" t="s">
        <v>20</v>
      </c>
      <c r="I625" s="1" t="s">
        <v>20</v>
      </c>
      <c r="J625" s="1" t="str">
        <f>"На обробці в СНАП"</f>
        <v>На обробці в СНАП</v>
      </c>
      <c r="K625" s="1" t="s">
        <v>20</v>
      </c>
      <c r="L625" s="1" t="s">
        <v>20</v>
      </c>
      <c r="M625" s="1" t="s">
        <v>22</v>
      </c>
      <c r="N625" s="1" t="s">
        <v>20</v>
      </c>
    </row>
    <row r="626" spans="1:14" x14ac:dyDescent="0.3">
      <c r="A626" s="1" t="str">
        <f>"12_818-11/2024/К"</f>
        <v>12_818-11/2024/К</v>
      </c>
      <c r="B626" s="6">
        <v>45601</v>
      </c>
      <c r="C626" s="1" t="str">
        <f>"00037"</f>
        <v>00037</v>
      </c>
      <c r="D626" s="2" t="str">
        <f>"Зняття з реєстрації місця проживання"</f>
        <v>Зняття з реєстрації місця проживання</v>
      </c>
      <c r="E626" s="1" t="s">
        <v>20</v>
      </c>
      <c r="F62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26" s="1" t="str">
        <f t="shared" si="92"/>
        <v>Фізична особа</v>
      </c>
      <c r="H626" s="1" t="s">
        <v>20</v>
      </c>
      <c r="I626" s="1" t="s">
        <v>20</v>
      </c>
      <c r="J626" s="1" t="str">
        <f t="shared" ref="J626:J652" si="94">"Закрито"</f>
        <v>Закрито</v>
      </c>
      <c r="K626" s="5">
        <v>45601</v>
      </c>
      <c r="L626" s="1" t="s">
        <v>20</v>
      </c>
      <c r="M626" s="1" t="s">
        <v>22</v>
      </c>
      <c r="N626" s="5">
        <v>45601</v>
      </c>
    </row>
    <row r="627" spans="1:14" x14ac:dyDescent="0.3">
      <c r="A627" s="1" t="str">
        <f>"15_326-11/2024/В"</f>
        <v>15_326-11/2024/В</v>
      </c>
      <c r="B627" s="6">
        <v>45601</v>
      </c>
      <c r="C627" s="1" t="str">
        <f>"00133"</f>
        <v>00133</v>
      </c>
      <c r="D627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627" s="1" t="str">
        <f>"03193413"</f>
        <v>03193413</v>
      </c>
      <c r="F62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27" s="1" t="str">
        <f t="shared" si="92"/>
        <v>Фізична особа</v>
      </c>
      <c r="H627" s="1" t="s">
        <v>20</v>
      </c>
      <c r="I627" s="1" t="s">
        <v>20</v>
      </c>
      <c r="J627" s="1" t="str">
        <f t="shared" si="94"/>
        <v>Закрито</v>
      </c>
      <c r="K627" s="5">
        <v>45624</v>
      </c>
      <c r="L627" s="1" t="s">
        <v>20</v>
      </c>
      <c r="M627" s="1" t="s">
        <v>22</v>
      </c>
      <c r="N627" s="5">
        <v>45624</v>
      </c>
    </row>
    <row r="628" spans="1:14" x14ac:dyDescent="0.3">
      <c r="A628" s="1" t="str">
        <f>"15_327-11/2024/К"</f>
        <v>15_327-11/2024/К</v>
      </c>
      <c r="B628" s="6">
        <v>45601</v>
      </c>
      <c r="C628" s="1" t="str">
        <f>"01929"</f>
        <v>01929</v>
      </c>
      <c r="D628" s="2" t="str">
        <f>"Видача довідки про народжених дітей громадянкою та виховання їх до певного віку"</f>
        <v>Видача довідки про народжених дітей громадянкою та виховання їх до певного віку</v>
      </c>
      <c r="E628" s="1" t="s">
        <v>20</v>
      </c>
      <c r="F6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28" s="1" t="str">
        <f t="shared" si="92"/>
        <v>Фізична особа</v>
      </c>
      <c r="H628" s="1" t="s">
        <v>20</v>
      </c>
      <c r="I628" s="1" t="s">
        <v>20</v>
      </c>
      <c r="J628" s="1" t="str">
        <f t="shared" si="94"/>
        <v>Закрито</v>
      </c>
      <c r="K628" s="5">
        <v>45601</v>
      </c>
      <c r="L628" s="1" t="s">
        <v>20</v>
      </c>
      <c r="M628" s="1" t="s">
        <v>22</v>
      </c>
      <c r="N628" s="5">
        <v>45601</v>
      </c>
    </row>
    <row r="629" spans="1:14" x14ac:dyDescent="0.3">
      <c r="A629" s="1" t="str">
        <f>"26_358-11/2024/П"</f>
        <v>26_358-11/2024/П</v>
      </c>
      <c r="B629" s="6">
        <v>45601</v>
      </c>
      <c r="C629" s="1" t="str">
        <f>"00038"</f>
        <v>00038</v>
      </c>
      <c r="D62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29" s="1" t="s">
        <v>20</v>
      </c>
      <c r="F62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29" s="1" t="str">
        <f t="shared" si="92"/>
        <v>Фізична особа</v>
      </c>
      <c r="H629" s="1" t="s">
        <v>20</v>
      </c>
      <c r="I629" s="1" t="s">
        <v>20</v>
      </c>
      <c r="J629" s="1" t="str">
        <f t="shared" si="94"/>
        <v>Закрито</v>
      </c>
      <c r="K629" s="5">
        <v>45601</v>
      </c>
      <c r="L629" s="1" t="s">
        <v>20</v>
      </c>
      <c r="M629" s="1" t="s">
        <v>22</v>
      </c>
      <c r="N629" s="5">
        <v>45601</v>
      </c>
    </row>
    <row r="630" spans="1:14" x14ac:dyDescent="0.3">
      <c r="A630" s="1" t="str">
        <f>"30_597-11/2024/К"</f>
        <v>30_597-11/2024/К</v>
      </c>
      <c r="B630" s="6">
        <v>45601</v>
      </c>
      <c r="C630" s="1" t="str">
        <f>"00038"</f>
        <v>00038</v>
      </c>
      <c r="D63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30" s="1" t="s">
        <v>20</v>
      </c>
      <c r="F6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30" s="1" t="str">
        <f t="shared" si="92"/>
        <v>Фізична особа</v>
      </c>
      <c r="H630" s="1" t="s">
        <v>20</v>
      </c>
      <c r="I630" s="1" t="s">
        <v>20</v>
      </c>
      <c r="J630" s="1" t="str">
        <f t="shared" si="94"/>
        <v>Закрито</v>
      </c>
      <c r="K630" s="5">
        <v>45601</v>
      </c>
      <c r="L630" s="1" t="s">
        <v>20</v>
      </c>
      <c r="M630" s="1" t="s">
        <v>22</v>
      </c>
      <c r="N630" s="5">
        <v>45601</v>
      </c>
    </row>
    <row r="631" spans="1:14" x14ac:dyDescent="0.3">
      <c r="A631" s="1" t="str">
        <f>"15_328-11/2024/К"</f>
        <v>15_328-11/2024/К</v>
      </c>
      <c r="B631" s="6">
        <v>45601</v>
      </c>
      <c r="C631" s="1" t="str">
        <f>"00038"</f>
        <v>00038</v>
      </c>
      <c r="D63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31" s="1" t="s">
        <v>20</v>
      </c>
      <c r="F6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31" s="1" t="str">
        <f t="shared" si="92"/>
        <v>Фізична особа</v>
      </c>
      <c r="H631" s="1" t="s">
        <v>20</v>
      </c>
      <c r="I631" s="1" t="s">
        <v>20</v>
      </c>
      <c r="J631" s="1" t="str">
        <f t="shared" si="94"/>
        <v>Закрито</v>
      </c>
      <c r="K631" s="5">
        <v>45601</v>
      </c>
      <c r="L631" s="1" t="s">
        <v>20</v>
      </c>
      <c r="M631" s="1" t="s">
        <v>22</v>
      </c>
      <c r="N631" s="5">
        <v>45601</v>
      </c>
    </row>
    <row r="632" spans="1:14" x14ac:dyDescent="0.3">
      <c r="A632" s="1" t="str">
        <f>"34_371-11/2024/Д"</f>
        <v>34_371-11/2024/Д</v>
      </c>
      <c r="B632" s="6">
        <v>45601</v>
      </c>
      <c r="C632" s="1" t="str">
        <f>"00133"</f>
        <v>00133</v>
      </c>
      <c r="D632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632" s="1" t="str">
        <f>"03193413"</f>
        <v>03193413</v>
      </c>
      <c r="F63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32" s="1" t="str">
        <f t="shared" si="92"/>
        <v>Фізична особа</v>
      </c>
      <c r="H632" s="1" t="s">
        <v>20</v>
      </c>
      <c r="I632" s="1" t="s">
        <v>20</v>
      </c>
      <c r="J632" s="1" t="str">
        <f t="shared" si="94"/>
        <v>Закрито</v>
      </c>
      <c r="K632" s="5">
        <v>45656</v>
      </c>
      <c r="L632" s="1" t="s">
        <v>20</v>
      </c>
      <c r="M632" s="1" t="s">
        <v>22</v>
      </c>
      <c r="N632" s="5">
        <v>45657</v>
      </c>
    </row>
    <row r="633" spans="1:14" x14ac:dyDescent="0.3">
      <c r="A633" s="1" t="str">
        <f>"11_102-11/2024/К"</f>
        <v>11_102-11/2024/К</v>
      </c>
      <c r="B633" s="6">
        <v>45601</v>
      </c>
      <c r="C633" s="1" t="str">
        <f>"00038"</f>
        <v>00038</v>
      </c>
      <c r="D63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33" s="1" t="s">
        <v>20</v>
      </c>
      <c r="F633" s="1" t="str">
        <f t="shared" ref="F633:F640" si="95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33" s="1" t="str">
        <f t="shared" si="92"/>
        <v>Фізична особа</v>
      </c>
      <c r="H633" s="1" t="s">
        <v>20</v>
      </c>
      <c r="I633" s="1" t="s">
        <v>20</v>
      </c>
      <c r="J633" s="1" t="str">
        <f t="shared" si="94"/>
        <v>Закрито</v>
      </c>
      <c r="K633" s="5">
        <v>45601</v>
      </c>
      <c r="L633" s="1" t="s">
        <v>20</v>
      </c>
      <c r="M633" s="1" t="s">
        <v>22</v>
      </c>
      <c r="N633" s="5">
        <v>45601</v>
      </c>
    </row>
    <row r="634" spans="1:14" x14ac:dyDescent="0.3">
      <c r="A634" s="1" t="str">
        <f>"26_359-11/2024/С"</f>
        <v>26_359-11/2024/С</v>
      </c>
      <c r="B634" s="6">
        <v>45601</v>
      </c>
      <c r="C634" s="1" t="str">
        <f>"00038"</f>
        <v>00038</v>
      </c>
      <c r="D63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34" s="1" t="s">
        <v>20</v>
      </c>
      <c r="F634" s="1" t="str">
        <f t="shared" si="95"/>
        <v>Центр надання адміністративних послуг Рогатинської міської ради</v>
      </c>
      <c r="G634" s="1" t="str">
        <f t="shared" si="92"/>
        <v>Фізична особа</v>
      </c>
      <c r="H634" s="1" t="s">
        <v>20</v>
      </c>
      <c r="I634" s="1" t="s">
        <v>20</v>
      </c>
      <c r="J634" s="1" t="str">
        <f t="shared" si="94"/>
        <v>Закрито</v>
      </c>
      <c r="K634" s="5">
        <v>45601</v>
      </c>
      <c r="L634" s="1" t="s">
        <v>20</v>
      </c>
      <c r="M634" s="1" t="s">
        <v>22</v>
      </c>
      <c r="N634" s="5">
        <v>45601</v>
      </c>
    </row>
    <row r="635" spans="1:14" x14ac:dyDescent="0.3">
      <c r="A635" s="1" t="str">
        <f>"11_103-11/2024/К"</f>
        <v>11_103-11/2024/К</v>
      </c>
      <c r="B635" s="6">
        <v>45601</v>
      </c>
      <c r="C635" s="1" t="str">
        <f>"00038"</f>
        <v>00038</v>
      </c>
      <c r="D63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35" s="1" t="s">
        <v>20</v>
      </c>
      <c r="F635" s="1" t="str">
        <f t="shared" si="95"/>
        <v>Центр надання адміністративних послуг Рогатинської міської ради</v>
      </c>
      <c r="G635" s="1" t="str">
        <f t="shared" si="92"/>
        <v>Фізична особа</v>
      </c>
      <c r="H635" s="1" t="s">
        <v>20</v>
      </c>
      <c r="I635" s="1" t="s">
        <v>20</v>
      </c>
      <c r="J635" s="1" t="str">
        <f t="shared" si="94"/>
        <v>Закрито</v>
      </c>
      <c r="K635" s="5">
        <v>45601</v>
      </c>
      <c r="L635" s="1" t="s">
        <v>20</v>
      </c>
      <c r="M635" s="1" t="s">
        <v>22</v>
      </c>
      <c r="N635" s="5">
        <v>45601</v>
      </c>
    </row>
    <row r="636" spans="1:14" x14ac:dyDescent="0.3">
      <c r="A636" s="1" t="str">
        <f>"21_636-11/2024/К"</f>
        <v>21_636-11/2024/К</v>
      </c>
      <c r="B636" s="6">
        <v>45601</v>
      </c>
      <c r="C636" s="1" t="str">
        <f>"33"</f>
        <v>33</v>
      </c>
      <c r="D636" s="2" t="str">
        <f>"33 Довідки різного характеру"</f>
        <v>33 Довідки різного характеру</v>
      </c>
      <c r="E636" s="1" t="s">
        <v>20</v>
      </c>
      <c r="F636" s="1" t="str">
        <f t="shared" si="95"/>
        <v>Центр надання адміністративних послуг Рогатинської міської ради</v>
      </c>
      <c r="G636" s="1" t="str">
        <f t="shared" si="92"/>
        <v>Фізична особа</v>
      </c>
      <c r="H636" s="1" t="s">
        <v>20</v>
      </c>
      <c r="I636" s="1" t="s">
        <v>20</v>
      </c>
      <c r="J636" s="1" t="str">
        <f t="shared" si="94"/>
        <v>Закрито</v>
      </c>
      <c r="K636" s="5">
        <v>45601</v>
      </c>
      <c r="L636" s="1" t="s">
        <v>20</v>
      </c>
      <c r="M636" s="1" t="s">
        <v>22</v>
      </c>
      <c r="N636" s="5">
        <v>45601</v>
      </c>
    </row>
    <row r="637" spans="1:14" x14ac:dyDescent="0.3">
      <c r="A637" s="1" t="str">
        <f>"3_826-11/2024/Б"</f>
        <v>3_826-11/2024/Б</v>
      </c>
      <c r="B637" s="6">
        <v>45601</v>
      </c>
      <c r="C637" s="1" t="str">
        <f>"00038"</f>
        <v>00038</v>
      </c>
      <c r="D63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37" s="1" t="s">
        <v>20</v>
      </c>
      <c r="F637" s="1" t="str">
        <f t="shared" si="95"/>
        <v>Центр надання адміністративних послуг Рогатинської міської ради</v>
      </c>
      <c r="G637" s="1" t="str">
        <f t="shared" si="92"/>
        <v>Фізична особа</v>
      </c>
      <c r="H637" s="1" t="s">
        <v>20</v>
      </c>
      <c r="I637" s="1" t="s">
        <v>20</v>
      </c>
      <c r="J637" s="1" t="str">
        <f t="shared" si="94"/>
        <v>Закрито</v>
      </c>
      <c r="K637" s="5">
        <v>45601</v>
      </c>
      <c r="L637" s="1" t="s">
        <v>20</v>
      </c>
      <c r="M637" s="1" t="s">
        <v>22</v>
      </c>
      <c r="N637" s="5">
        <v>45601</v>
      </c>
    </row>
    <row r="638" spans="1:14" x14ac:dyDescent="0.3">
      <c r="A638" s="1" t="str">
        <f>"12_819-11/2024/К"</f>
        <v>12_819-11/2024/К</v>
      </c>
      <c r="B638" s="6">
        <v>45601</v>
      </c>
      <c r="C638" s="1" t="str">
        <f>"00038"</f>
        <v>00038</v>
      </c>
      <c r="D63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38" s="1" t="s">
        <v>20</v>
      </c>
      <c r="F638" s="1" t="str">
        <f t="shared" si="95"/>
        <v>Центр надання адміністративних послуг Рогатинської міської ради</v>
      </c>
      <c r="G638" s="1" t="str">
        <f t="shared" si="92"/>
        <v>Фізична особа</v>
      </c>
      <c r="H638" s="1" t="s">
        <v>20</v>
      </c>
      <c r="I638" s="1" t="s">
        <v>20</v>
      </c>
      <c r="J638" s="1" t="str">
        <f t="shared" si="94"/>
        <v>Закрито</v>
      </c>
      <c r="K638" s="5">
        <v>45601</v>
      </c>
      <c r="L638" s="1" t="s">
        <v>20</v>
      </c>
      <c r="M638" s="1" t="s">
        <v>22</v>
      </c>
      <c r="N638" s="5">
        <v>45601</v>
      </c>
    </row>
    <row r="639" spans="1:14" x14ac:dyDescent="0.3">
      <c r="A639" s="1" t="str">
        <f>"12_820-11/2024/К"</f>
        <v>12_820-11/2024/К</v>
      </c>
      <c r="B639" s="6">
        <v>45601</v>
      </c>
      <c r="C639" s="1" t="str">
        <f>"00038"</f>
        <v>00038</v>
      </c>
      <c r="D63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39" s="1" t="s">
        <v>20</v>
      </c>
      <c r="F639" s="1" t="str">
        <f t="shared" si="95"/>
        <v>Центр надання адміністративних послуг Рогатинської міської ради</v>
      </c>
      <c r="G639" s="1" t="str">
        <f t="shared" ref="G639:G670" si="96">"Фізична особа"</f>
        <v>Фізична особа</v>
      </c>
      <c r="H639" s="1" t="s">
        <v>20</v>
      </c>
      <c r="I639" s="1" t="s">
        <v>20</v>
      </c>
      <c r="J639" s="1" t="str">
        <f t="shared" si="94"/>
        <v>Закрито</v>
      </c>
      <c r="K639" s="5">
        <v>45601</v>
      </c>
      <c r="L639" s="1" t="s">
        <v>20</v>
      </c>
      <c r="M639" s="1" t="s">
        <v>22</v>
      </c>
      <c r="N639" s="5">
        <v>45601</v>
      </c>
    </row>
    <row r="640" spans="1:14" x14ac:dyDescent="0.3">
      <c r="A640" s="1" t="str">
        <f>"30_598-11/2024/К"</f>
        <v>30_598-11/2024/К</v>
      </c>
      <c r="B640" s="6">
        <v>45601</v>
      </c>
      <c r="C640" s="1" t="str">
        <f>"00038"</f>
        <v>00038</v>
      </c>
      <c r="D64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40" s="1" t="s">
        <v>20</v>
      </c>
      <c r="F640" s="1" t="str">
        <f t="shared" si="95"/>
        <v>Центр надання адміністративних послуг Рогатинської міської ради</v>
      </c>
      <c r="G640" s="1" t="str">
        <f t="shared" si="96"/>
        <v>Фізична особа</v>
      </c>
      <c r="H640" s="1" t="s">
        <v>20</v>
      </c>
      <c r="I640" s="1" t="s">
        <v>20</v>
      </c>
      <c r="J640" s="1" t="str">
        <f t="shared" si="94"/>
        <v>Закрито</v>
      </c>
      <c r="K640" s="5">
        <v>45601</v>
      </c>
      <c r="L640" s="1" t="s">
        <v>20</v>
      </c>
      <c r="M640" s="1" t="s">
        <v>22</v>
      </c>
      <c r="N640" s="5">
        <v>45601</v>
      </c>
    </row>
    <row r="641" spans="1:14" x14ac:dyDescent="0.3">
      <c r="A641" s="1" t="str">
        <f>"4_1230/03193413-11/2024/К"</f>
        <v>4_1230/03193413-11/2024/К</v>
      </c>
      <c r="B641" s="6">
        <v>45601</v>
      </c>
      <c r="C641" s="1" t="str">
        <f>"00155"</f>
        <v>00155</v>
      </c>
      <c r="D641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41" s="1" t="str">
        <f>"03193413"</f>
        <v>03193413</v>
      </c>
      <c r="F64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41" s="1" t="str">
        <f t="shared" si="96"/>
        <v>Фізична особа</v>
      </c>
      <c r="H641" s="1" t="s">
        <v>20</v>
      </c>
      <c r="I641" s="1" t="s">
        <v>20</v>
      </c>
      <c r="J641" s="1" t="str">
        <f t="shared" si="94"/>
        <v>Закрито</v>
      </c>
      <c r="K641" s="5">
        <v>45601</v>
      </c>
      <c r="L641" s="1" t="s">
        <v>20</v>
      </c>
      <c r="M641" s="1" t="s">
        <v>22</v>
      </c>
      <c r="N641" s="5">
        <v>45601</v>
      </c>
    </row>
    <row r="642" spans="1:14" x14ac:dyDescent="0.3">
      <c r="A642" s="1" t="str">
        <f>"12_821-11/2024/К"</f>
        <v>12_821-11/2024/К</v>
      </c>
      <c r="B642" s="6">
        <v>45601</v>
      </c>
      <c r="C642" s="1" t="str">
        <f>"00155"</f>
        <v>00155</v>
      </c>
      <c r="D642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42" s="1" t="str">
        <f>"03193413"</f>
        <v>03193413</v>
      </c>
      <c r="F64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42" s="1" t="str">
        <f t="shared" si="96"/>
        <v>Фізична особа</v>
      </c>
      <c r="H642" s="1" t="s">
        <v>20</v>
      </c>
      <c r="I642" s="1" t="s">
        <v>20</v>
      </c>
      <c r="J642" s="1" t="str">
        <f t="shared" si="94"/>
        <v>Закрито</v>
      </c>
      <c r="K642" s="5">
        <v>45632</v>
      </c>
      <c r="L642" s="1" t="s">
        <v>20</v>
      </c>
      <c r="M642" s="1" t="s">
        <v>22</v>
      </c>
      <c r="N642" s="5">
        <v>45645</v>
      </c>
    </row>
    <row r="643" spans="1:14" x14ac:dyDescent="0.3">
      <c r="A643" s="1" t="str">
        <f>"4_1231/03193413-11/2024/К"</f>
        <v>4_1231/03193413-11/2024/К</v>
      </c>
      <c r="B643" s="6">
        <v>45601</v>
      </c>
      <c r="C643" s="1" t="str">
        <f>"00155"</f>
        <v>00155</v>
      </c>
      <c r="D643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43" s="1" t="str">
        <f>"03193413"</f>
        <v>03193413</v>
      </c>
      <c r="F64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43" s="1" t="str">
        <f t="shared" si="96"/>
        <v>Фізична особа</v>
      </c>
      <c r="H643" s="1" t="s">
        <v>20</v>
      </c>
      <c r="I643" s="1" t="s">
        <v>20</v>
      </c>
      <c r="J643" s="1" t="str">
        <f t="shared" si="94"/>
        <v>Закрито</v>
      </c>
      <c r="K643" s="5">
        <v>45601</v>
      </c>
      <c r="L643" s="1" t="s">
        <v>20</v>
      </c>
      <c r="M643" s="1" t="s">
        <v>22</v>
      </c>
      <c r="N643" s="5">
        <v>45601</v>
      </c>
    </row>
    <row r="644" spans="1:14" x14ac:dyDescent="0.3">
      <c r="A644" s="1" t="str">
        <f>"28_633-11/2024/Б"</f>
        <v>28_633-11/2024/Б</v>
      </c>
      <c r="B644" s="6">
        <v>45601</v>
      </c>
      <c r="C644" s="1" t="str">
        <f>"00038"</f>
        <v>00038</v>
      </c>
      <c r="D64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44" s="1" t="s">
        <v>20</v>
      </c>
      <c r="F64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44" s="1" t="str">
        <f t="shared" si="96"/>
        <v>Фізична особа</v>
      </c>
      <c r="H644" s="1" t="s">
        <v>20</v>
      </c>
      <c r="I644" s="1" t="s">
        <v>20</v>
      </c>
      <c r="J644" s="1" t="str">
        <f t="shared" si="94"/>
        <v>Закрито</v>
      </c>
      <c r="K644" s="5">
        <v>45601</v>
      </c>
      <c r="L644" s="1" t="s">
        <v>20</v>
      </c>
      <c r="M644" s="1" t="s">
        <v>22</v>
      </c>
      <c r="N644" s="5">
        <v>45601</v>
      </c>
    </row>
    <row r="645" spans="1:14" x14ac:dyDescent="0.3">
      <c r="A645" s="1" t="str">
        <f>"12_822-11/2024/Г"</f>
        <v>12_822-11/2024/Г</v>
      </c>
      <c r="B645" s="6">
        <v>45601</v>
      </c>
      <c r="C645" s="1" t="str">
        <f>"00038"</f>
        <v>00038</v>
      </c>
      <c r="D64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45" s="1" t="s">
        <v>20</v>
      </c>
      <c r="F64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45" s="1" t="str">
        <f t="shared" si="96"/>
        <v>Фізична особа</v>
      </c>
      <c r="H645" s="1" t="s">
        <v>20</v>
      </c>
      <c r="I645" s="1" t="s">
        <v>20</v>
      </c>
      <c r="J645" s="1" t="str">
        <f t="shared" si="94"/>
        <v>Закрито</v>
      </c>
      <c r="K645" s="5">
        <v>45601</v>
      </c>
      <c r="L645" s="1" t="s">
        <v>20</v>
      </c>
      <c r="M645" s="1" t="s">
        <v>22</v>
      </c>
      <c r="N645" s="5">
        <v>45601</v>
      </c>
    </row>
    <row r="646" spans="1:14" x14ac:dyDescent="0.3">
      <c r="A646" s="1" t="str">
        <f>"16_651-11/2024/Ч"</f>
        <v>16_651-11/2024/Ч</v>
      </c>
      <c r="B646" s="6">
        <v>45601</v>
      </c>
      <c r="C646" s="1" t="str">
        <f>"00038"</f>
        <v>00038</v>
      </c>
      <c r="D64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46" s="1" t="s">
        <v>20</v>
      </c>
      <c r="F64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46" s="1" t="str">
        <f t="shared" si="96"/>
        <v>Фізична особа</v>
      </c>
      <c r="H646" s="1" t="s">
        <v>20</v>
      </c>
      <c r="I646" s="1" t="s">
        <v>20</v>
      </c>
      <c r="J646" s="1" t="str">
        <f t="shared" si="94"/>
        <v>Закрито</v>
      </c>
      <c r="K646" s="5">
        <v>45601</v>
      </c>
      <c r="L646" s="1" t="s">
        <v>20</v>
      </c>
      <c r="M646" s="1" t="s">
        <v>22</v>
      </c>
      <c r="N646" s="5">
        <v>45601</v>
      </c>
    </row>
    <row r="647" spans="1:14" x14ac:dyDescent="0.3">
      <c r="A647" s="1" t="str">
        <f>"28_634-11/2024/Б"</f>
        <v>28_634-11/2024/Б</v>
      </c>
      <c r="B647" s="6">
        <v>45601</v>
      </c>
      <c r="C647" s="1" t="str">
        <f>"00155"</f>
        <v>00155</v>
      </c>
      <c r="D647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47" s="1" t="str">
        <f>"03193413"</f>
        <v>03193413</v>
      </c>
      <c r="F64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47" s="1" t="str">
        <f t="shared" si="96"/>
        <v>Фізична особа</v>
      </c>
      <c r="H647" s="1" t="s">
        <v>20</v>
      </c>
      <c r="I647" s="1" t="s">
        <v>20</v>
      </c>
      <c r="J647" s="1" t="str">
        <f t="shared" si="94"/>
        <v>Закрито</v>
      </c>
      <c r="K647" s="5">
        <v>45614</v>
      </c>
      <c r="L647" s="1" t="s">
        <v>20</v>
      </c>
      <c r="M647" s="1" t="s">
        <v>22</v>
      </c>
      <c r="N647" s="5">
        <v>45614</v>
      </c>
    </row>
    <row r="648" spans="1:14" x14ac:dyDescent="0.3">
      <c r="A648" s="1" t="str">
        <f>"12_823-11/2024/Б"</f>
        <v>12_823-11/2024/Б</v>
      </c>
      <c r="B648" s="6">
        <v>45601</v>
      </c>
      <c r="C648" s="1" t="str">
        <f>"00038"</f>
        <v>00038</v>
      </c>
      <c r="D64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48" s="1" t="s">
        <v>20</v>
      </c>
      <c r="F64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48" s="1" t="str">
        <f t="shared" si="96"/>
        <v>Фізична особа</v>
      </c>
      <c r="H648" s="1" t="s">
        <v>20</v>
      </c>
      <c r="I648" s="1" t="s">
        <v>20</v>
      </c>
      <c r="J648" s="1" t="str">
        <f t="shared" si="94"/>
        <v>Закрито</v>
      </c>
      <c r="K648" s="5">
        <v>45601</v>
      </c>
      <c r="L648" s="1" t="s">
        <v>20</v>
      </c>
      <c r="M648" s="1" t="s">
        <v>22</v>
      </c>
      <c r="N648" s="5">
        <v>45601</v>
      </c>
    </row>
    <row r="649" spans="1:14" x14ac:dyDescent="0.3">
      <c r="A649" s="1" t="str">
        <f>"18_611-11/2024/М"</f>
        <v>18_611-11/2024/М</v>
      </c>
      <c r="B649" s="6">
        <v>45601</v>
      </c>
      <c r="C649" s="1" t="str">
        <f>"33"</f>
        <v>33</v>
      </c>
      <c r="D649" s="2" t="str">
        <f>"33 Довідки різного характеру"</f>
        <v>33 Довідки різного характеру</v>
      </c>
      <c r="E649" s="1" t="s">
        <v>20</v>
      </c>
      <c r="F64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49" s="1" t="str">
        <f t="shared" si="96"/>
        <v>Фізична особа</v>
      </c>
      <c r="H649" s="1" t="s">
        <v>20</v>
      </c>
      <c r="I649" s="1" t="s">
        <v>20</v>
      </c>
      <c r="J649" s="1" t="str">
        <f t="shared" si="94"/>
        <v>Закрито</v>
      </c>
      <c r="K649" s="5">
        <v>45601</v>
      </c>
      <c r="L649" s="1" t="s">
        <v>20</v>
      </c>
      <c r="M649" s="1" t="s">
        <v>22</v>
      </c>
      <c r="N649" s="5">
        <v>45601</v>
      </c>
    </row>
    <row r="650" spans="1:14" x14ac:dyDescent="0.3">
      <c r="A650" s="1" t="str">
        <f>"16_652-11/2024/Ч"</f>
        <v>16_652-11/2024/Ч</v>
      </c>
      <c r="B650" s="6">
        <v>45601</v>
      </c>
      <c r="C650" s="1" t="str">
        <f>"00038"</f>
        <v>00038</v>
      </c>
      <c r="D65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50" s="1" t="s">
        <v>20</v>
      </c>
      <c r="F65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50" s="1" t="str">
        <f t="shared" si="96"/>
        <v>Фізична особа</v>
      </c>
      <c r="H650" s="1" t="s">
        <v>20</v>
      </c>
      <c r="I650" s="1" t="s">
        <v>20</v>
      </c>
      <c r="J650" s="1" t="str">
        <f t="shared" si="94"/>
        <v>Закрито</v>
      </c>
      <c r="K650" s="5">
        <v>45601</v>
      </c>
      <c r="L650" s="1" t="s">
        <v>20</v>
      </c>
      <c r="M650" s="1" t="s">
        <v>22</v>
      </c>
      <c r="N650" s="5">
        <v>45601</v>
      </c>
    </row>
    <row r="651" spans="1:14" x14ac:dyDescent="0.3">
      <c r="A651" s="1" t="str">
        <f>"18_612-11/2024/С"</f>
        <v>18_612-11/2024/С</v>
      </c>
      <c r="B651" s="6">
        <v>45601</v>
      </c>
      <c r="C651" s="1" t="str">
        <f>"33"</f>
        <v>33</v>
      </c>
      <c r="D651" s="2" t="str">
        <f>"33 Довідки різного характеру"</f>
        <v>33 Довідки різного характеру</v>
      </c>
      <c r="E651" s="1" t="s">
        <v>20</v>
      </c>
      <c r="F6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51" s="1" t="str">
        <f t="shared" si="96"/>
        <v>Фізична особа</v>
      </c>
      <c r="H651" s="1" t="s">
        <v>20</v>
      </c>
      <c r="I651" s="1" t="s">
        <v>20</v>
      </c>
      <c r="J651" s="1" t="str">
        <f t="shared" si="94"/>
        <v>Закрито</v>
      </c>
      <c r="K651" s="5">
        <v>45601</v>
      </c>
      <c r="L651" s="1" t="s">
        <v>20</v>
      </c>
      <c r="M651" s="1" t="s">
        <v>22</v>
      </c>
      <c r="N651" s="5">
        <v>45601</v>
      </c>
    </row>
    <row r="652" spans="1:14" x14ac:dyDescent="0.3">
      <c r="A652" s="1" t="str">
        <f>"26_360-11/2024/С"</f>
        <v>26_360-11/2024/С</v>
      </c>
      <c r="B652" s="6">
        <v>45601</v>
      </c>
      <c r="C652" s="1" t="str">
        <f>"00038"</f>
        <v>00038</v>
      </c>
      <c r="D65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52" s="1" t="s">
        <v>20</v>
      </c>
      <c r="F6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52" s="1" t="str">
        <f t="shared" si="96"/>
        <v>Фізична особа</v>
      </c>
      <c r="H652" s="1" t="s">
        <v>20</v>
      </c>
      <c r="I652" s="1" t="s">
        <v>20</v>
      </c>
      <c r="J652" s="1" t="str">
        <f t="shared" si="94"/>
        <v>Закрито</v>
      </c>
      <c r="K652" s="5">
        <v>45601</v>
      </c>
      <c r="L652" s="1" t="s">
        <v>20</v>
      </c>
      <c r="M652" s="1" t="s">
        <v>22</v>
      </c>
      <c r="N652" s="5">
        <v>45601</v>
      </c>
    </row>
    <row r="653" spans="1:14" x14ac:dyDescent="0.3">
      <c r="A653" s="1" t="str">
        <f>"14_951-11/2024/Б"</f>
        <v>14_951-11/2024/Б</v>
      </c>
      <c r="B653" s="6">
        <v>45601</v>
      </c>
      <c r="C653" s="1" t="str">
        <f>"001040"</f>
        <v>001040</v>
      </c>
      <c r="D653" s="2" t="str">
        <f>"Надання допомоги на проживання внутрішньо переміщеним особам"</f>
        <v>Надання допомоги на проживання внутрішньо переміщеним особам</v>
      </c>
      <c r="E653" s="1" t="str">
        <f>"03193413"</f>
        <v>03193413</v>
      </c>
      <c r="F65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53" s="1" t="str">
        <f t="shared" si="96"/>
        <v>Фізична особа</v>
      </c>
      <c r="H653" s="1" t="s">
        <v>20</v>
      </c>
      <c r="I653" s="1" t="s">
        <v>20</v>
      </c>
      <c r="J653" s="1" t="str">
        <f>"На обробці в СНАП"</f>
        <v>На обробці в СНАП</v>
      </c>
      <c r="K653" s="1" t="s">
        <v>20</v>
      </c>
      <c r="L653" s="1" t="s">
        <v>20</v>
      </c>
      <c r="M653" s="1" t="s">
        <v>22</v>
      </c>
      <c r="N653" s="1" t="s">
        <v>20</v>
      </c>
    </row>
    <row r="654" spans="1:14" x14ac:dyDescent="0.3">
      <c r="A654" s="1" t="str">
        <f>"16_653-11/2024/Ч"</f>
        <v>16_653-11/2024/Ч</v>
      </c>
      <c r="B654" s="6">
        <v>45601</v>
      </c>
      <c r="C654" s="1" t="str">
        <f>"00038"</f>
        <v>00038</v>
      </c>
      <c r="D65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54" s="1" t="s">
        <v>20</v>
      </c>
      <c r="F65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54" s="1" t="str">
        <f t="shared" si="96"/>
        <v>Фізична особа</v>
      </c>
      <c r="H654" s="1" t="s">
        <v>20</v>
      </c>
      <c r="I654" s="1" t="s">
        <v>20</v>
      </c>
      <c r="J654" s="1" t="str">
        <f>"Закрито"</f>
        <v>Закрито</v>
      </c>
      <c r="K654" s="5">
        <v>45601</v>
      </c>
      <c r="L654" s="1" t="s">
        <v>20</v>
      </c>
      <c r="M654" s="1" t="s">
        <v>22</v>
      </c>
      <c r="N654" s="5">
        <v>45601</v>
      </c>
    </row>
    <row r="655" spans="1:14" x14ac:dyDescent="0.3">
      <c r="A655" s="1" t="str">
        <f>"30_599-11/2024/К"</f>
        <v>30_599-11/2024/К</v>
      </c>
      <c r="B655" s="6">
        <v>45601</v>
      </c>
      <c r="C655" s="1" t="str">
        <f>"33"</f>
        <v>33</v>
      </c>
      <c r="D655" s="2" t="str">
        <f>"33 Довідки різного характеру"</f>
        <v>33 Довідки різного характеру</v>
      </c>
      <c r="E655" s="1" t="s">
        <v>20</v>
      </c>
      <c r="F65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55" s="1" t="str">
        <f t="shared" si="96"/>
        <v>Фізична особа</v>
      </c>
      <c r="H655" s="1" t="s">
        <v>20</v>
      </c>
      <c r="I655" s="1" t="s">
        <v>20</v>
      </c>
      <c r="J655" s="1" t="str">
        <f>"Закрито"</f>
        <v>Закрито</v>
      </c>
      <c r="K655" s="5">
        <v>45601</v>
      </c>
      <c r="L655" s="1" t="s">
        <v>20</v>
      </c>
      <c r="M655" s="1" t="s">
        <v>22</v>
      </c>
      <c r="N655" s="5">
        <v>45601</v>
      </c>
    </row>
    <row r="656" spans="1:14" x14ac:dyDescent="0.3">
      <c r="A656" s="1" t="str">
        <f>"12_824-11/2024/Б"</f>
        <v>12_824-11/2024/Б</v>
      </c>
      <c r="B656" s="6">
        <v>45601</v>
      </c>
      <c r="C656" s="1" t="str">
        <f>"00038"</f>
        <v>00038</v>
      </c>
      <c r="D65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56" s="1" t="s">
        <v>20</v>
      </c>
      <c r="F65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56" s="1" t="str">
        <f t="shared" si="96"/>
        <v>Фізична особа</v>
      </c>
      <c r="H656" s="1" t="s">
        <v>20</v>
      </c>
      <c r="I656" s="1" t="s">
        <v>20</v>
      </c>
      <c r="J656" s="1" t="str">
        <f>"Закрито"</f>
        <v>Закрито</v>
      </c>
      <c r="K656" s="5">
        <v>45601</v>
      </c>
      <c r="L656" s="1" t="s">
        <v>20</v>
      </c>
      <c r="M656" s="1" t="s">
        <v>22</v>
      </c>
      <c r="N656" s="5">
        <v>45601</v>
      </c>
    </row>
    <row r="657" spans="1:14" x14ac:dyDescent="0.3">
      <c r="A657" s="1" t="str">
        <f>"4_918-11/2024/К"</f>
        <v>4_918-11/2024/К</v>
      </c>
      <c r="B657" s="6">
        <v>45601</v>
      </c>
      <c r="C657" s="1" t="str">
        <f>"00034"</f>
        <v>00034</v>
      </c>
      <c r="D657" s="2" t="str">
        <f>"Реєстрація місця проживання"</f>
        <v>Реєстрація місця проживання</v>
      </c>
      <c r="E657" s="1" t="s">
        <v>20</v>
      </c>
      <c r="F6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57" s="1" t="str">
        <f t="shared" si="96"/>
        <v>Фізична особа</v>
      </c>
      <c r="H657" s="1" t="s">
        <v>20</v>
      </c>
      <c r="I657" s="1" t="s">
        <v>20</v>
      </c>
      <c r="J657" s="1" t="str">
        <f>"Закрито"</f>
        <v>Закрито</v>
      </c>
      <c r="K657" s="5">
        <v>45601</v>
      </c>
      <c r="L657" s="1" t="str">
        <f>"45.42"</f>
        <v>45.42</v>
      </c>
      <c r="M657" s="1" t="s">
        <v>22</v>
      </c>
      <c r="N657" s="5">
        <v>45601</v>
      </c>
    </row>
    <row r="658" spans="1:14" x14ac:dyDescent="0.3">
      <c r="A658" s="1" t="str">
        <f>"16_654-11/2024/Ч"</f>
        <v>16_654-11/2024/Ч</v>
      </c>
      <c r="B658" s="6">
        <v>45601</v>
      </c>
      <c r="C658" s="1" t="str">
        <f>"00038"</f>
        <v>00038</v>
      </c>
      <c r="D65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58" s="1" t="s">
        <v>20</v>
      </c>
      <c r="F65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58" s="1" t="str">
        <f t="shared" si="96"/>
        <v>Фізична особа</v>
      </c>
      <c r="H658" s="1" t="s">
        <v>20</v>
      </c>
      <c r="I658" s="1" t="s">
        <v>20</v>
      </c>
      <c r="J658" s="1" t="str">
        <f>"Закрито"</f>
        <v>Закрито</v>
      </c>
      <c r="K658" s="5">
        <v>45601</v>
      </c>
      <c r="L658" s="1" t="s">
        <v>20</v>
      </c>
      <c r="M658" s="1" t="s">
        <v>22</v>
      </c>
      <c r="N658" s="5">
        <v>45601</v>
      </c>
    </row>
    <row r="659" spans="1:14" x14ac:dyDescent="0.3">
      <c r="A659" s="1" t="str">
        <f>"12_825-11/2024/Б"</f>
        <v>12_825-11/2024/Б</v>
      </c>
      <c r="B659" s="6">
        <v>45601</v>
      </c>
      <c r="C659" s="1" t="str">
        <f>"00133"</f>
        <v>00133</v>
      </c>
      <c r="D659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659" s="1" t="str">
        <f>"03193413"</f>
        <v>03193413</v>
      </c>
      <c r="F65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59" s="1" t="str">
        <f t="shared" si="96"/>
        <v>Фізична особа</v>
      </c>
      <c r="H659" s="1" t="s">
        <v>20</v>
      </c>
      <c r="I659" s="1" t="s">
        <v>20</v>
      </c>
      <c r="J659" s="1" t="str">
        <f>"Зареєстрований"</f>
        <v>Зареєстрований</v>
      </c>
      <c r="K659" s="1" t="s">
        <v>20</v>
      </c>
      <c r="L659" s="1" t="s">
        <v>20</v>
      </c>
      <c r="M659" s="1" t="s">
        <v>22</v>
      </c>
      <c r="N659" s="1" t="s">
        <v>20</v>
      </c>
    </row>
    <row r="660" spans="1:14" x14ac:dyDescent="0.3">
      <c r="A660" s="1" t="str">
        <f>"4_919-11/2024/К"</f>
        <v>4_919-11/2024/К</v>
      </c>
      <c r="B660" s="6">
        <v>45601</v>
      </c>
      <c r="C660" s="1" t="str">
        <f>"00038"</f>
        <v>00038</v>
      </c>
      <c r="D66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60" s="1" t="s">
        <v>20</v>
      </c>
      <c r="F660" s="1" t="str">
        <f t="shared" ref="F660:F665" si="97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60" s="1" t="str">
        <f t="shared" si="96"/>
        <v>Фізична особа</v>
      </c>
      <c r="H660" s="1" t="s">
        <v>20</v>
      </c>
      <c r="I660" s="1" t="s">
        <v>20</v>
      </c>
      <c r="J660" s="1" t="str">
        <f t="shared" ref="J660:J672" si="98">"Закрито"</f>
        <v>Закрито</v>
      </c>
      <c r="K660" s="5">
        <v>45601</v>
      </c>
      <c r="L660" s="1" t="s">
        <v>20</v>
      </c>
      <c r="M660" s="1" t="s">
        <v>22</v>
      </c>
      <c r="N660" s="5">
        <v>45601</v>
      </c>
    </row>
    <row r="661" spans="1:14" x14ac:dyDescent="0.3">
      <c r="A661" s="1" t="str">
        <f>"12_826-11/2024/Ш"</f>
        <v>12_826-11/2024/Ш</v>
      </c>
      <c r="B661" s="6">
        <v>45601</v>
      </c>
      <c r="C661" s="1" t="str">
        <f>"00038"</f>
        <v>00038</v>
      </c>
      <c r="D66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61" s="1" t="s">
        <v>20</v>
      </c>
      <c r="F661" s="1" t="str">
        <f t="shared" si="97"/>
        <v>Центр надання адміністративних послуг Рогатинської міської ради</v>
      </c>
      <c r="G661" s="1" t="str">
        <f t="shared" si="96"/>
        <v>Фізична особа</v>
      </c>
      <c r="H661" s="1" t="s">
        <v>20</v>
      </c>
      <c r="I661" s="1" t="s">
        <v>20</v>
      </c>
      <c r="J661" s="1" t="str">
        <f t="shared" si="98"/>
        <v>Закрито</v>
      </c>
      <c r="K661" s="5">
        <v>45601</v>
      </c>
      <c r="L661" s="1" t="s">
        <v>20</v>
      </c>
      <c r="M661" s="1" t="s">
        <v>22</v>
      </c>
      <c r="N661" s="5">
        <v>45601</v>
      </c>
    </row>
    <row r="662" spans="1:14" x14ac:dyDescent="0.3">
      <c r="A662" s="1" t="str">
        <f>"16_655-11/2024/К"</f>
        <v>16_655-11/2024/К</v>
      </c>
      <c r="B662" s="6">
        <v>45601</v>
      </c>
      <c r="C662" s="1" t="str">
        <f>"00038"</f>
        <v>00038</v>
      </c>
      <c r="D66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62" s="1" t="s">
        <v>20</v>
      </c>
      <c r="F662" s="1" t="str">
        <f t="shared" si="97"/>
        <v>Центр надання адміністративних послуг Рогатинської міської ради</v>
      </c>
      <c r="G662" s="1" t="str">
        <f t="shared" si="96"/>
        <v>Фізична особа</v>
      </c>
      <c r="H662" s="1" t="s">
        <v>20</v>
      </c>
      <c r="I662" s="1" t="s">
        <v>20</v>
      </c>
      <c r="J662" s="1" t="str">
        <f t="shared" si="98"/>
        <v>Закрито</v>
      </c>
      <c r="K662" s="5">
        <v>45601</v>
      </c>
      <c r="L662" s="1" t="s">
        <v>20</v>
      </c>
      <c r="M662" s="1" t="s">
        <v>22</v>
      </c>
      <c r="N662" s="5">
        <v>45601</v>
      </c>
    </row>
    <row r="663" spans="1:14" x14ac:dyDescent="0.3">
      <c r="A663" s="1" t="str">
        <f>"4_920-11/2024/К"</f>
        <v>4_920-11/2024/К</v>
      </c>
      <c r="B663" s="6">
        <v>45601</v>
      </c>
      <c r="C663" s="1" t="str">
        <f>"01217"</f>
        <v>01217</v>
      </c>
      <c r="D663" s="2" t="str">
        <f>"Реєстрація місця проживання дитини до 14 років"</f>
        <v>Реєстрація місця проживання дитини до 14 років</v>
      </c>
      <c r="E663" s="1" t="s">
        <v>20</v>
      </c>
      <c r="F663" s="1" t="str">
        <f t="shared" si="97"/>
        <v>Центр надання адміністративних послуг Рогатинської міської ради</v>
      </c>
      <c r="G663" s="1" t="str">
        <f t="shared" si="96"/>
        <v>Фізична особа</v>
      </c>
      <c r="H663" s="1" t="s">
        <v>20</v>
      </c>
      <c r="I663" s="1" t="s">
        <v>20</v>
      </c>
      <c r="J663" s="1" t="str">
        <f t="shared" si="98"/>
        <v>Закрито</v>
      </c>
      <c r="K663" s="5">
        <v>45601</v>
      </c>
      <c r="L663" s="1" t="str">
        <f>"45.42"</f>
        <v>45.42</v>
      </c>
      <c r="M663" s="1" t="s">
        <v>22</v>
      </c>
      <c r="N663" s="5">
        <v>45601</v>
      </c>
    </row>
    <row r="664" spans="1:14" x14ac:dyDescent="0.3">
      <c r="A664" s="1" t="str">
        <f>"12_827-11/2024/Ш"</f>
        <v>12_827-11/2024/Ш</v>
      </c>
      <c r="B664" s="6">
        <v>45601</v>
      </c>
      <c r="C664" s="1" t="str">
        <f>"00038"</f>
        <v>00038</v>
      </c>
      <c r="D66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64" s="1" t="s">
        <v>20</v>
      </c>
      <c r="F664" s="1" t="str">
        <f t="shared" si="97"/>
        <v>Центр надання адміністративних послуг Рогатинської міської ради</v>
      </c>
      <c r="G664" s="1" t="str">
        <f t="shared" si="96"/>
        <v>Фізична особа</v>
      </c>
      <c r="H664" s="1" t="s">
        <v>20</v>
      </c>
      <c r="I664" s="1" t="s">
        <v>20</v>
      </c>
      <c r="J664" s="1" t="str">
        <f t="shared" si="98"/>
        <v>Закрито</v>
      </c>
      <c r="K664" s="5">
        <v>45601</v>
      </c>
      <c r="L664" s="1" t="s">
        <v>20</v>
      </c>
      <c r="M664" s="1" t="s">
        <v>22</v>
      </c>
      <c r="N664" s="5">
        <v>45601</v>
      </c>
    </row>
    <row r="665" spans="1:14" x14ac:dyDescent="0.3">
      <c r="A665" s="1" t="str">
        <f>"16_656-11/2024/К"</f>
        <v>16_656-11/2024/К</v>
      </c>
      <c r="B665" s="6">
        <v>45601</v>
      </c>
      <c r="C665" s="1" t="str">
        <f>"00038"</f>
        <v>00038</v>
      </c>
      <c r="D66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65" s="1" t="s">
        <v>20</v>
      </c>
      <c r="F665" s="1" t="str">
        <f t="shared" si="97"/>
        <v>Центр надання адміністративних послуг Рогатинської міської ради</v>
      </c>
      <c r="G665" s="1" t="str">
        <f t="shared" si="96"/>
        <v>Фізична особа</v>
      </c>
      <c r="H665" s="1" t="s">
        <v>20</v>
      </c>
      <c r="I665" s="1" t="s">
        <v>20</v>
      </c>
      <c r="J665" s="1" t="str">
        <f t="shared" si="98"/>
        <v>Закрито</v>
      </c>
      <c r="K665" s="5">
        <v>45601</v>
      </c>
      <c r="L665" s="1" t="s">
        <v>20</v>
      </c>
      <c r="M665" s="1" t="s">
        <v>22</v>
      </c>
      <c r="N665" s="5">
        <v>45601</v>
      </c>
    </row>
    <row r="666" spans="1:14" x14ac:dyDescent="0.3">
      <c r="A666" s="1" t="str">
        <f>"12_828-11/2024/Ш"</f>
        <v>12_828-11/2024/Ш</v>
      </c>
      <c r="B666" s="6">
        <v>45601</v>
      </c>
      <c r="C666" s="1" t="str">
        <f>"00155"</f>
        <v>00155</v>
      </c>
      <c r="D666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66" s="1" t="str">
        <f>"03193413"</f>
        <v>03193413</v>
      </c>
      <c r="F66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66" s="1" t="str">
        <f t="shared" si="96"/>
        <v>Фізична особа</v>
      </c>
      <c r="H666" s="1" t="s">
        <v>20</v>
      </c>
      <c r="I666" s="1" t="s">
        <v>20</v>
      </c>
      <c r="J666" s="1" t="str">
        <f t="shared" si="98"/>
        <v>Закрито</v>
      </c>
      <c r="K666" s="5">
        <v>45632</v>
      </c>
      <c r="L666" s="1" t="s">
        <v>20</v>
      </c>
      <c r="M666" s="1" t="s">
        <v>22</v>
      </c>
      <c r="N666" s="5">
        <v>45646</v>
      </c>
    </row>
    <row r="667" spans="1:14" x14ac:dyDescent="0.3">
      <c r="A667" s="1" t="str">
        <f>"4_921-11/2024/К"</f>
        <v>4_921-11/2024/К</v>
      </c>
      <c r="B667" s="6">
        <v>45601</v>
      </c>
      <c r="C667" s="1" t="str">
        <f>"00038"</f>
        <v>00038</v>
      </c>
      <c r="D66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67" s="1" t="s">
        <v>20</v>
      </c>
      <c r="F66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67" s="1" t="str">
        <f t="shared" si="96"/>
        <v>Фізична особа</v>
      </c>
      <c r="H667" s="1" t="s">
        <v>20</v>
      </c>
      <c r="I667" s="1" t="s">
        <v>20</v>
      </c>
      <c r="J667" s="1" t="str">
        <f t="shared" si="98"/>
        <v>Закрито</v>
      </c>
      <c r="K667" s="5">
        <v>45601</v>
      </c>
      <c r="L667" s="1" t="s">
        <v>20</v>
      </c>
      <c r="M667" s="1" t="s">
        <v>22</v>
      </c>
      <c r="N667" s="5">
        <v>45601</v>
      </c>
    </row>
    <row r="668" spans="1:14" x14ac:dyDescent="0.3">
      <c r="A668" s="1" t="str">
        <f>"8_518-11/2024/Д"</f>
        <v>8_518-11/2024/Д</v>
      </c>
      <c r="B668" s="6">
        <v>45601</v>
      </c>
      <c r="C668" s="1" t="str">
        <f>"00038"</f>
        <v>00038</v>
      </c>
      <c r="D66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68" s="1" t="s">
        <v>20</v>
      </c>
      <c r="F66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68" s="1" t="str">
        <f t="shared" si="96"/>
        <v>Фізична особа</v>
      </c>
      <c r="H668" s="1" t="s">
        <v>20</v>
      </c>
      <c r="I668" s="1" t="s">
        <v>20</v>
      </c>
      <c r="J668" s="1" t="str">
        <f t="shared" si="98"/>
        <v>Закрито</v>
      </c>
      <c r="K668" s="5">
        <v>45601</v>
      </c>
      <c r="L668" s="1" t="s">
        <v>20</v>
      </c>
      <c r="M668" s="1" t="s">
        <v>22</v>
      </c>
      <c r="N668" s="5">
        <v>45601</v>
      </c>
    </row>
    <row r="669" spans="1:14" x14ac:dyDescent="0.3">
      <c r="A669" s="1" t="str">
        <f>"4_922-11/2024/Р"</f>
        <v>4_922-11/2024/Р</v>
      </c>
      <c r="B669" s="6">
        <v>45601</v>
      </c>
      <c r="C669" s="1" t="str">
        <f>"01929"</f>
        <v>01929</v>
      </c>
      <c r="D669" s="2" t="str">
        <f>"Видача довідки про народжених дітей громадянкою та виховання їх до певного віку"</f>
        <v>Видача довідки про народжених дітей громадянкою та виховання їх до певного віку</v>
      </c>
      <c r="E669" s="1" t="s">
        <v>20</v>
      </c>
      <c r="F66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69" s="1" t="str">
        <f t="shared" si="96"/>
        <v>Фізична особа</v>
      </c>
      <c r="H669" s="1" t="s">
        <v>20</v>
      </c>
      <c r="I669" s="1" t="s">
        <v>20</v>
      </c>
      <c r="J669" s="1" t="str">
        <f t="shared" si="98"/>
        <v>Закрито</v>
      </c>
      <c r="K669" s="5">
        <v>45601</v>
      </c>
      <c r="L669" s="1" t="s">
        <v>20</v>
      </c>
      <c r="M669" s="1" t="s">
        <v>22</v>
      </c>
      <c r="N669" s="5">
        <v>45601</v>
      </c>
    </row>
    <row r="670" spans="1:14" x14ac:dyDescent="0.3">
      <c r="A670" s="1" t="str">
        <f>"4_923-11/2024/В"</f>
        <v>4_923-11/2024/В</v>
      </c>
      <c r="B670" s="6">
        <v>45601</v>
      </c>
      <c r="C670" s="1" t="str">
        <f>"01841"</f>
        <v>01841</v>
      </c>
      <c r="D670" s="2" t="str">
        <f>"Видача довідки про реєстрацію та проживання особи станом на 15.04.1991 року"</f>
        <v>Видача довідки про реєстрацію та проживання особи станом на 15.04.1991 року</v>
      </c>
      <c r="E670" s="1" t="s">
        <v>20</v>
      </c>
      <c r="F67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70" s="1" t="str">
        <f t="shared" si="96"/>
        <v>Фізична особа</v>
      </c>
      <c r="H670" s="1" t="s">
        <v>20</v>
      </c>
      <c r="I670" s="1" t="s">
        <v>20</v>
      </c>
      <c r="J670" s="1" t="str">
        <f t="shared" si="98"/>
        <v>Закрито</v>
      </c>
      <c r="K670" s="5">
        <v>45601</v>
      </c>
      <c r="L670" s="1" t="s">
        <v>20</v>
      </c>
      <c r="M670" s="1" t="s">
        <v>22</v>
      </c>
      <c r="N670" s="5">
        <v>45601</v>
      </c>
    </row>
    <row r="671" spans="1:14" x14ac:dyDescent="0.3">
      <c r="A671" s="1" t="str">
        <f>"4_924-11/2024/Б"</f>
        <v>4_924-11/2024/Б</v>
      </c>
      <c r="B671" s="6">
        <v>45601</v>
      </c>
      <c r="C671" s="1" t="str">
        <f>"00155"</f>
        <v>00155</v>
      </c>
      <c r="D671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71" s="1" t="str">
        <f>"03193413"</f>
        <v>03193413</v>
      </c>
      <c r="F67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71" s="1" t="str">
        <f t="shared" ref="G671:G700" si="99">"Фізична особа"</f>
        <v>Фізична особа</v>
      </c>
      <c r="H671" s="1" t="s">
        <v>20</v>
      </c>
      <c r="I671" s="1" t="s">
        <v>20</v>
      </c>
      <c r="J671" s="1" t="str">
        <f t="shared" si="98"/>
        <v>Закрито</v>
      </c>
      <c r="K671" s="5">
        <v>45601</v>
      </c>
      <c r="L671" s="1" t="s">
        <v>20</v>
      </c>
      <c r="M671" s="1" t="s">
        <v>22</v>
      </c>
      <c r="N671" s="5">
        <v>45601</v>
      </c>
    </row>
    <row r="672" spans="1:14" x14ac:dyDescent="0.3">
      <c r="A672" s="1" t="str">
        <f>"22_521-11/2024/П"</f>
        <v>22_521-11/2024/П</v>
      </c>
      <c r="B672" s="6">
        <v>45601</v>
      </c>
      <c r="C672" s="1" t="str">
        <f>"00155"</f>
        <v>00155</v>
      </c>
      <c r="D672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72" s="1" t="str">
        <f>"03193413"</f>
        <v>03193413</v>
      </c>
      <c r="F67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72" s="1" t="str">
        <f t="shared" si="99"/>
        <v>Фізична особа</v>
      </c>
      <c r="H672" s="1" t="s">
        <v>20</v>
      </c>
      <c r="I672" s="1" t="s">
        <v>20</v>
      </c>
      <c r="J672" s="1" t="str">
        <f t="shared" si="98"/>
        <v>Закрито</v>
      </c>
      <c r="K672" s="5">
        <v>45618</v>
      </c>
      <c r="L672" s="1" t="s">
        <v>20</v>
      </c>
      <c r="M672" s="1" t="s">
        <v>22</v>
      </c>
      <c r="N672" s="5">
        <v>45618</v>
      </c>
    </row>
    <row r="673" spans="1:14" x14ac:dyDescent="0.3">
      <c r="A673" s="1" t="str">
        <f>"4_925-11/2024/Б"</f>
        <v>4_925-11/2024/Б</v>
      </c>
      <c r="B673" s="6">
        <v>45601</v>
      </c>
      <c r="C673" s="1" t="str">
        <f>"00155"</f>
        <v>00155</v>
      </c>
      <c r="D673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73" s="1" t="str">
        <f>"03193413"</f>
        <v>03193413</v>
      </c>
      <c r="F67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73" s="1" t="str">
        <f t="shared" si="99"/>
        <v>Фізична особа</v>
      </c>
      <c r="H673" s="1" t="s">
        <v>20</v>
      </c>
      <c r="I673" s="1" t="s">
        <v>20</v>
      </c>
      <c r="J673" s="1" t="str">
        <f>"Заявника сповіщено про результат"</f>
        <v>Заявника сповіщено про результат</v>
      </c>
      <c r="K673" s="5">
        <v>45611</v>
      </c>
      <c r="L673" s="1" t="s">
        <v>20</v>
      </c>
      <c r="M673" s="1" t="s">
        <v>22</v>
      </c>
      <c r="N673" s="5">
        <v>45632</v>
      </c>
    </row>
    <row r="674" spans="1:14" x14ac:dyDescent="0.3">
      <c r="A674" s="1" t="str">
        <f>"22_522-11/2024/Г"</f>
        <v>22_522-11/2024/Г</v>
      </c>
      <c r="B674" s="6">
        <v>45601</v>
      </c>
      <c r="C674" s="1" t="str">
        <f>"00155"</f>
        <v>00155</v>
      </c>
      <c r="D674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74" s="1" t="str">
        <f>"03193413"</f>
        <v>03193413</v>
      </c>
      <c r="F67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74" s="1" t="str">
        <f t="shared" si="99"/>
        <v>Фізична особа</v>
      </c>
      <c r="H674" s="1" t="s">
        <v>20</v>
      </c>
      <c r="I674" s="1" t="s">
        <v>20</v>
      </c>
      <c r="J674" s="1" t="str">
        <f t="shared" ref="J674:J682" si="100">"Закрито"</f>
        <v>Закрито</v>
      </c>
      <c r="K674" s="5">
        <v>45618</v>
      </c>
      <c r="L674" s="1" t="s">
        <v>20</v>
      </c>
      <c r="M674" s="1" t="s">
        <v>22</v>
      </c>
      <c r="N674" s="5">
        <v>45618</v>
      </c>
    </row>
    <row r="675" spans="1:14" x14ac:dyDescent="0.3">
      <c r="A675" s="1" t="str">
        <f>"22_523-11/2024/П"</f>
        <v>22_523-11/2024/П</v>
      </c>
      <c r="B675" s="6">
        <v>45601</v>
      </c>
      <c r="C675" s="1" t="str">
        <f>"01974"</f>
        <v>01974</v>
      </c>
      <c r="D675" s="2" t="str">
        <f>"Призначення пільги на оплату житла, комунальних послуг"</f>
        <v>Призначення пільги на оплату житла, комунальних послуг</v>
      </c>
      <c r="E675" s="1" t="str">
        <f>"03193413"</f>
        <v>03193413</v>
      </c>
      <c r="F67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75" s="1" t="str">
        <f t="shared" si="99"/>
        <v>Фізична особа</v>
      </c>
      <c r="H675" s="1" t="s">
        <v>20</v>
      </c>
      <c r="I675" s="1" t="s">
        <v>20</v>
      </c>
      <c r="J675" s="1" t="str">
        <f t="shared" si="100"/>
        <v>Закрито</v>
      </c>
      <c r="K675" s="5">
        <v>45618</v>
      </c>
      <c r="L675" s="1" t="s">
        <v>20</v>
      </c>
      <c r="M675" s="1" t="s">
        <v>22</v>
      </c>
      <c r="N675" s="5">
        <v>45618</v>
      </c>
    </row>
    <row r="676" spans="1:14" x14ac:dyDescent="0.3">
      <c r="A676" s="1" t="str">
        <f>"4_926-11/2024/Ф"</f>
        <v>4_926-11/2024/Ф</v>
      </c>
      <c r="B676" s="6">
        <v>45601</v>
      </c>
      <c r="C676" s="1" t="str">
        <f>"00038"</f>
        <v>00038</v>
      </c>
      <c r="D67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76" s="1" t="s">
        <v>20</v>
      </c>
      <c r="F67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76" s="1" t="str">
        <f t="shared" si="99"/>
        <v>Фізична особа</v>
      </c>
      <c r="H676" s="1" t="s">
        <v>20</v>
      </c>
      <c r="I676" s="1" t="s">
        <v>20</v>
      </c>
      <c r="J676" s="1" t="str">
        <f t="shared" si="100"/>
        <v>Закрито</v>
      </c>
      <c r="K676" s="5">
        <v>45601</v>
      </c>
      <c r="L676" s="1" t="s">
        <v>20</v>
      </c>
      <c r="M676" s="1" t="s">
        <v>22</v>
      </c>
      <c r="N676" s="5">
        <v>45601</v>
      </c>
    </row>
    <row r="677" spans="1:14" x14ac:dyDescent="0.3">
      <c r="A677" s="1" t="str">
        <f>"22_524-11/2024/Д"</f>
        <v>22_524-11/2024/Д</v>
      </c>
      <c r="B677" s="6">
        <v>45601</v>
      </c>
      <c r="C677" s="1" t="str">
        <f>"00155"</f>
        <v>00155</v>
      </c>
      <c r="D677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77" s="1" t="str">
        <f>"03193413"</f>
        <v>03193413</v>
      </c>
      <c r="F67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77" s="1" t="str">
        <f t="shared" si="99"/>
        <v>Фізична особа</v>
      </c>
      <c r="H677" s="1" t="s">
        <v>20</v>
      </c>
      <c r="I677" s="1" t="s">
        <v>20</v>
      </c>
      <c r="J677" s="1" t="str">
        <f t="shared" si="100"/>
        <v>Закрито</v>
      </c>
      <c r="K677" s="5">
        <v>45617</v>
      </c>
      <c r="L677" s="1" t="s">
        <v>20</v>
      </c>
      <c r="M677" s="1" t="s">
        <v>22</v>
      </c>
      <c r="N677" s="5">
        <v>45617</v>
      </c>
    </row>
    <row r="678" spans="1:14" x14ac:dyDescent="0.3">
      <c r="A678" s="1" t="str">
        <f>"4_927-11/2024/Х"</f>
        <v>4_927-11/2024/Х</v>
      </c>
      <c r="B678" s="6">
        <v>45601</v>
      </c>
      <c r="C678" s="1" t="str">
        <f>"00038"</f>
        <v>00038</v>
      </c>
      <c r="D67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78" s="1" t="s">
        <v>20</v>
      </c>
      <c r="F67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78" s="1" t="str">
        <f t="shared" si="99"/>
        <v>Фізична особа</v>
      </c>
      <c r="H678" s="1" t="s">
        <v>20</v>
      </c>
      <c r="I678" s="1" t="s">
        <v>20</v>
      </c>
      <c r="J678" s="1" t="str">
        <f t="shared" si="100"/>
        <v>Закрито</v>
      </c>
      <c r="K678" s="5">
        <v>45601</v>
      </c>
      <c r="L678" s="1" t="s">
        <v>20</v>
      </c>
      <c r="M678" s="1" t="s">
        <v>22</v>
      </c>
      <c r="N678" s="5">
        <v>45601</v>
      </c>
    </row>
    <row r="679" spans="1:14" x14ac:dyDescent="0.3">
      <c r="A679" s="1" t="str">
        <f>"22_525-11/2024/М"</f>
        <v>22_525-11/2024/М</v>
      </c>
      <c r="B679" s="6">
        <v>45601</v>
      </c>
      <c r="C679" s="1" t="str">
        <f>"00155"</f>
        <v>00155</v>
      </c>
      <c r="D679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79" s="1" t="str">
        <f>"03193413"</f>
        <v>03193413</v>
      </c>
      <c r="F67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79" s="1" t="str">
        <f t="shared" si="99"/>
        <v>Фізична особа</v>
      </c>
      <c r="H679" s="1" t="s">
        <v>20</v>
      </c>
      <c r="I679" s="1" t="s">
        <v>20</v>
      </c>
      <c r="J679" s="1" t="str">
        <f t="shared" si="100"/>
        <v>Закрито</v>
      </c>
      <c r="K679" s="1" t="s">
        <v>20</v>
      </c>
      <c r="L679" s="1" t="s">
        <v>20</v>
      </c>
      <c r="M679" s="1" t="s">
        <v>22</v>
      </c>
      <c r="N679" s="1" t="s">
        <v>20</v>
      </c>
    </row>
    <row r="680" spans="1:14" x14ac:dyDescent="0.3">
      <c r="A680" s="1" t="str">
        <f>"4_928-11/2024/А"</f>
        <v>4_928-11/2024/А</v>
      </c>
      <c r="B680" s="6">
        <v>45601</v>
      </c>
      <c r="C680" s="1" t="str">
        <f>"00155"</f>
        <v>00155</v>
      </c>
      <c r="D680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80" s="1" t="str">
        <f>"03193413"</f>
        <v>03193413</v>
      </c>
      <c r="F68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80" s="1" t="str">
        <f t="shared" si="99"/>
        <v>Фізична особа</v>
      </c>
      <c r="H680" s="1" t="s">
        <v>20</v>
      </c>
      <c r="I680" s="1" t="s">
        <v>20</v>
      </c>
      <c r="J680" s="1" t="str">
        <f t="shared" si="100"/>
        <v>Закрито</v>
      </c>
      <c r="K680" s="1" t="s">
        <v>20</v>
      </c>
      <c r="L680" s="1" t="s">
        <v>20</v>
      </c>
      <c r="M680" s="1" t="s">
        <v>22</v>
      </c>
      <c r="N680" s="1" t="s">
        <v>20</v>
      </c>
    </row>
    <row r="681" spans="1:14" x14ac:dyDescent="0.3">
      <c r="A681" s="1" t="str">
        <f>"4_929-11/2024/П"</f>
        <v>4_929-11/2024/П</v>
      </c>
      <c r="B681" s="6">
        <v>45601</v>
      </c>
      <c r="C681" s="1" t="str">
        <f>"33"</f>
        <v>33</v>
      </c>
      <c r="D681" s="2" t="str">
        <f>"33 Довідки різного характеру"</f>
        <v>33 Довідки різного характеру</v>
      </c>
      <c r="E681" s="1" t="s">
        <v>20</v>
      </c>
      <c r="F6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81" s="1" t="str">
        <f t="shared" si="99"/>
        <v>Фізична особа</v>
      </c>
      <c r="H681" s="1" t="s">
        <v>20</v>
      </c>
      <c r="I681" s="1" t="s">
        <v>20</v>
      </c>
      <c r="J681" s="1" t="str">
        <f t="shared" si="100"/>
        <v>Закрито</v>
      </c>
      <c r="K681" s="5">
        <v>45601</v>
      </c>
      <c r="L681" s="1" t="s">
        <v>20</v>
      </c>
      <c r="M681" s="1" t="s">
        <v>22</v>
      </c>
      <c r="N681" s="5">
        <v>45601</v>
      </c>
    </row>
    <row r="682" spans="1:14" x14ac:dyDescent="0.3">
      <c r="A682" s="1" t="str">
        <f>"4_930-11/2024/Х"</f>
        <v>4_930-11/2024/Х</v>
      </c>
      <c r="B682" s="6">
        <v>45601</v>
      </c>
      <c r="C682" s="1" t="str">
        <f>"00038"</f>
        <v>00038</v>
      </c>
      <c r="D68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682" s="1" t="s">
        <v>20</v>
      </c>
      <c r="F68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82" s="1" t="str">
        <f t="shared" si="99"/>
        <v>Фізична особа</v>
      </c>
      <c r="H682" s="1" t="s">
        <v>20</v>
      </c>
      <c r="I682" s="1" t="s">
        <v>20</v>
      </c>
      <c r="J682" s="1" t="str">
        <f t="shared" si="100"/>
        <v>Закрито</v>
      </c>
      <c r="K682" s="5">
        <v>45601</v>
      </c>
      <c r="L682" s="1" t="s">
        <v>20</v>
      </c>
      <c r="M682" s="1" t="s">
        <v>22</v>
      </c>
      <c r="N682" s="5">
        <v>45601</v>
      </c>
    </row>
    <row r="683" spans="1:14" x14ac:dyDescent="0.3">
      <c r="A683" s="1" t="str">
        <f>"4_931-11/2024/Р"</f>
        <v>4_931-11/2024/Р</v>
      </c>
      <c r="B683" s="6">
        <v>45601</v>
      </c>
      <c r="C683" s="1" t="str">
        <f>"00155"</f>
        <v>00155</v>
      </c>
      <c r="D683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83" s="1" t="str">
        <f>"03193413"</f>
        <v>03193413</v>
      </c>
      <c r="F68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83" s="1" t="str">
        <f t="shared" si="99"/>
        <v>Фізична особа</v>
      </c>
      <c r="H683" s="1" t="s">
        <v>20</v>
      </c>
      <c r="I683" s="1" t="s">
        <v>20</v>
      </c>
      <c r="J683" s="1" t="str">
        <f>"Заявника сповіщено про результат"</f>
        <v>Заявника сповіщено про результат</v>
      </c>
      <c r="K683" s="5">
        <v>45611</v>
      </c>
      <c r="L683" s="1" t="s">
        <v>20</v>
      </c>
      <c r="M683" s="1" t="s">
        <v>22</v>
      </c>
      <c r="N683" s="5">
        <v>45633</v>
      </c>
    </row>
    <row r="684" spans="1:14" x14ac:dyDescent="0.3">
      <c r="A684" s="1" t="str">
        <f>"4_1232/03193413-11/2024/П"</f>
        <v>4_1232/03193413-11/2024/П</v>
      </c>
      <c r="B684" s="6">
        <v>45602</v>
      </c>
      <c r="C684" s="1" t="str">
        <f>"00133"</f>
        <v>00133</v>
      </c>
      <c r="D684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684" s="1" t="str">
        <f>"03193413"</f>
        <v>03193413</v>
      </c>
      <c r="F68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84" s="1" t="str">
        <f t="shared" si="99"/>
        <v>Фізична особа</v>
      </c>
      <c r="H684" s="1" t="s">
        <v>20</v>
      </c>
      <c r="I684" s="1" t="s">
        <v>20</v>
      </c>
      <c r="J684" s="1" t="str">
        <f>"Закрито"</f>
        <v>Закрито</v>
      </c>
      <c r="K684" s="5">
        <v>45629</v>
      </c>
      <c r="L684" s="1" t="s">
        <v>20</v>
      </c>
      <c r="M684" s="1" t="s">
        <v>22</v>
      </c>
      <c r="N684" s="5">
        <v>45629</v>
      </c>
    </row>
    <row r="685" spans="1:14" x14ac:dyDescent="0.3">
      <c r="A685" s="1" t="str">
        <f>"4_1233/03193413-11/2024/Л"</f>
        <v>4_1233/03193413-11/2024/Л</v>
      </c>
      <c r="B685" s="6">
        <v>45602</v>
      </c>
      <c r="C685" s="1" t="str">
        <f>"00133"</f>
        <v>00133</v>
      </c>
      <c r="D685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685" s="1" t="str">
        <f>"03193413"</f>
        <v>03193413</v>
      </c>
      <c r="F68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85" s="1" t="str">
        <f t="shared" si="99"/>
        <v>Фізична особа</v>
      </c>
      <c r="H685" s="1" t="s">
        <v>20</v>
      </c>
      <c r="I685" s="1" t="s">
        <v>20</v>
      </c>
      <c r="J685" s="1" t="str">
        <f>"Закрито"</f>
        <v>Закрито</v>
      </c>
      <c r="K685" s="5">
        <v>45629</v>
      </c>
      <c r="L685" s="1" t="s">
        <v>20</v>
      </c>
      <c r="M685" s="1" t="s">
        <v>22</v>
      </c>
      <c r="N685" s="5">
        <v>45629</v>
      </c>
    </row>
    <row r="686" spans="1:14" x14ac:dyDescent="0.3">
      <c r="A686" s="1" t="str">
        <f>"3_1331/4-11/2024/В"</f>
        <v>3_1331/4-11/2024/В</v>
      </c>
      <c r="B686" s="6">
        <v>45602</v>
      </c>
      <c r="C686" s="1" t="str">
        <f>"00060"</f>
        <v>00060</v>
      </c>
      <c r="D686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686" s="1" t="s">
        <v>20</v>
      </c>
      <c r="F686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686" s="1" t="str">
        <f t="shared" si="99"/>
        <v>Фізична особа</v>
      </c>
      <c r="H686" s="1" t="s">
        <v>20</v>
      </c>
      <c r="I686" s="1" t="s">
        <v>20</v>
      </c>
      <c r="J686" s="1" t="str">
        <f>"Результат підготовлено СНАП"</f>
        <v>Результат підготовлено СНАП</v>
      </c>
      <c r="K686" s="5">
        <v>45614</v>
      </c>
      <c r="L686" s="1" t="str">
        <f>"151.4"</f>
        <v>151.4</v>
      </c>
      <c r="M686" s="1" t="s">
        <v>22</v>
      </c>
      <c r="N686" s="1" t="s">
        <v>20</v>
      </c>
    </row>
    <row r="687" spans="1:14" x14ac:dyDescent="0.3">
      <c r="A687" s="1" t="str">
        <f>"3_1332/4-11/2024/В"</f>
        <v>3_1332/4-11/2024/В</v>
      </c>
      <c r="B687" s="6">
        <v>45602</v>
      </c>
      <c r="C687" s="1" t="str">
        <f>"00060"</f>
        <v>00060</v>
      </c>
      <c r="D687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687" s="1" t="s">
        <v>20</v>
      </c>
      <c r="F687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687" s="1" t="str">
        <f t="shared" si="99"/>
        <v>Фізична особа</v>
      </c>
      <c r="H687" s="1" t="s">
        <v>20</v>
      </c>
      <c r="I687" s="1" t="s">
        <v>20</v>
      </c>
      <c r="J687" s="1" t="str">
        <f>"Результат підготовлено СНАП"</f>
        <v>Результат підготовлено СНАП</v>
      </c>
      <c r="K687" s="5">
        <v>45614</v>
      </c>
      <c r="L687" s="1" t="str">
        <f>"151.4"</f>
        <v>151.4</v>
      </c>
      <c r="M687" s="1" t="s">
        <v>22</v>
      </c>
      <c r="N687" s="1" t="s">
        <v>20</v>
      </c>
    </row>
    <row r="688" spans="1:14" x14ac:dyDescent="0.3">
      <c r="A688" s="1" t="str">
        <f>"8_519-11/2024/К"</f>
        <v>8_519-11/2024/К</v>
      </c>
      <c r="B688" s="6">
        <v>45602</v>
      </c>
      <c r="C688" s="1" t="str">
        <f>"00155"</f>
        <v>00155</v>
      </c>
      <c r="D688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88" s="1" t="str">
        <f>"03193413"</f>
        <v>03193413</v>
      </c>
      <c r="F68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88" s="1" t="str">
        <f t="shared" si="99"/>
        <v>Фізична особа</v>
      </c>
      <c r="H688" s="1" t="s">
        <v>20</v>
      </c>
      <c r="I688" s="1" t="s">
        <v>20</v>
      </c>
      <c r="J688" s="1" t="str">
        <f>"Закрито"</f>
        <v>Закрито</v>
      </c>
      <c r="K688" s="5">
        <v>45602</v>
      </c>
      <c r="L688" s="1" t="s">
        <v>20</v>
      </c>
      <c r="M688" s="1" t="s">
        <v>22</v>
      </c>
      <c r="N688" s="5">
        <v>45602</v>
      </c>
    </row>
    <row r="689" spans="1:14" x14ac:dyDescent="0.3">
      <c r="A689" s="1" t="str">
        <f>"3_1333/4-11/2024/В"</f>
        <v>3_1333/4-11/2024/В</v>
      </c>
      <c r="B689" s="6">
        <v>45602</v>
      </c>
      <c r="C689" s="1" t="str">
        <f>"00060"</f>
        <v>00060</v>
      </c>
      <c r="D689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689" s="1" t="s">
        <v>20</v>
      </c>
      <c r="F689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689" s="1" t="str">
        <f t="shared" si="99"/>
        <v>Фізична особа</v>
      </c>
      <c r="H689" s="1" t="s">
        <v>20</v>
      </c>
      <c r="I689" s="1" t="s">
        <v>20</v>
      </c>
      <c r="J689" s="1" t="str">
        <f>"Результат підготовлено СНАП"</f>
        <v>Результат підготовлено СНАП</v>
      </c>
      <c r="K689" s="5">
        <v>45614</v>
      </c>
      <c r="L689" s="1" t="str">
        <f>"151.4"</f>
        <v>151.4</v>
      </c>
      <c r="M689" s="1" t="s">
        <v>22</v>
      </c>
      <c r="N689" s="1" t="s">
        <v>20</v>
      </c>
    </row>
    <row r="690" spans="1:14" x14ac:dyDescent="0.3">
      <c r="A690" s="1" t="str">
        <f>"8_520-11/2024/К"</f>
        <v>8_520-11/2024/К</v>
      </c>
      <c r="B690" s="6">
        <v>45602</v>
      </c>
      <c r="C690" s="1" t="str">
        <f>"00155"</f>
        <v>00155</v>
      </c>
      <c r="D690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90" s="1" t="str">
        <f>"03193413"</f>
        <v>03193413</v>
      </c>
      <c r="F69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90" s="1" t="str">
        <f t="shared" si="99"/>
        <v>Фізична особа</v>
      </c>
      <c r="H690" s="1" t="s">
        <v>20</v>
      </c>
      <c r="I690" s="1" t="s">
        <v>20</v>
      </c>
      <c r="J690" s="1" t="str">
        <f>"Закрито"</f>
        <v>Закрито</v>
      </c>
      <c r="K690" s="5">
        <v>45603</v>
      </c>
      <c r="L690" s="1" t="s">
        <v>20</v>
      </c>
      <c r="M690" s="1" t="s">
        <v>22</v>
      </c>
      <c r="N690" s="5">
        <v>45603</v>
      </c>
    </row>
    <row r="691" spans="1:14" x14ac:dyDescent="0.3">
      <c r="A691" s="1" t="str">
        <f>"14_952-11/2024/Ж"</f>
        <v>14_952-11/2024/Ж</v>
      </c>
      <c r="B691" s="6">
        <v>45602</v>
      </c>
      <c r="C691" s="1" t="str">
        <f>"33"</f>
        <v>33</v>
      </c>
      <c r="D691" s="2" t="str">
        <f>"33 Довідки різного характеру"</f>
        <v>33 Довідки різного характеру</v>
      </c>
      <c r="E691" s="1" t="s">
        <v>20</v>
      </c>
      <c r="F69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91" s="1" t="str">
        <f t="shared" si="99"/>
        <v>Фізична особа</v>
      </c>
      <c r="H691" s="1" t="s">
        <v>20</v>
      </c>
      <c r="I691" s="1" t="s">
        <v>20</v>
      </c>
      <c r="J691" s="1" t="str">
        <f>"Закрито"</f>
        <v>Закрито</v>
      </c>
      <c r="K691" s="5">
        <v>45602</v>
      </c>
      <c r="L691" s="1" t="s">
        <v>20</v>
      </c>
      <c r="M691" s="1" t="s">
        <v>22</v>
      </c>
      <c r="N691" s="5">
        <v>45602</v>
      </c>
    </row>
    <row r="692" spans="1:14" x14ac:dyDescent="0.3">
      <c r="A692" s="1" t="str">
        <f>"4_1234/03193413-11/2024/Р"</f>
        <v>4_1234/03193413-11/2024/Р</v>
      </c>
      <c r="B692" s="6">
        <v>45602</v>
      </c>
      <c r="C692" s="1" t="str">
        <f>"01974"</f>
        <v>01974</v>
      </c>
      <c r="D692" s="2" t="str">
        <f>"Призначення пільги на оплату житла, комунальних послуг"</f>
        <v>Призначення пільги на оплату житла, комунальних послуг</v>
      </c>
      <c r="E692" s="1" t="str">
        <f>"03193413"</f>
        <v>03193413</v>
      </c>
      <c r="F69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92" s="1" t="str">
        <f t="shared" si="99"/>
        <v>Фізична особа</v>
      </c>
      <c r="H692" s="1" t="s">
        <v>20</v>
      </c>
      <c r="I692" s="1" t="s">
        <v>20</v>
      </c>
      <c r="J692" s="1" t="str">
        <f>"Закрито"</f>
        <v>Закрито</v>
      </c>
      <c r="K692" s="5">
        <v>45608</v>
      </c>
      <c r="L692" s="1" t="s">
        <v>20</v>
      </c>
      <c r="M692" s="1" t="s">
        <v>22</v>
      </c>
      <c r="N692" s="5">
        <v>45608</v>
      </c>
    </row>
    <row r="693" spans="1:14" x14ac:dyDescent="0.3">
      <c r="A693" s="1" t="str">
        <f>"4_1235/03193413-11/2024/В"</f>
        <v>4_1235/03193413-11/2024/В</v>
      </c>
      <c r="B693" s="6">
        <v>45602</v>
      </c>
      <c r="C693" s="1" t="str">
        <f>"00155"</f>
        <v>00155</v>
      </c>
      <c r="D693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93" s="1" t="str">
        <f>"03193413"</f>
        <v>03193413</v>
      </c>
      <c r="F69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93" s="1" t="str">
        <f t="shared" si="99"/>
        <v>Фізична особа</v>
      </c>
      <c r="H693" s="1" t="s">
        <v>20</v>
      </c>
      <c r="I693" s="1" t="s">
        <v>20</v>
      </c>
      <c r="J693" s="1" t="str">
        <f>"Закрито"</f>
        <v>Закрито</v>
      </c>
      <c r="K693" s="5">
        <v>45608</v>
      </c>
      <c r="L693" s="1" t="s">
        <v>20</v>
      </c>
      <c r="M693" s="1" t="s">
        <v>22</v>
      </c>
      <c r="N693" s="5">
        <v>45608</v>
      </c>
    </row>
    <row r="694" spans="1:14" x14ac:dyDescent="0.3">
      <c r="A694" s="1" t="str">
        <f>"3_1334/4-11/2024/В"</f>
        <v>3_1334/4-11/2024/В</v>
      </c>
      <c r="B694" s="6">
        <v>45602</v>
      </c>
      <c r="C694" s="1" t="str">
        <f>"00060"</f>
        <v>00060</v>
      </c>
      <c r="D694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694" s="1" t="s">
        <v>20</v>
      </c>
      <c r="F694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694" s="1" t="str">
        <f t="shared" si="99"/>
        <v>Фізична особа</v>
      </c>
      <c r="H694" s="1" t="s">
        <v>20</v>
      </c>
      <c r="I694" s="1" t="s">
        <v>20</v>
      </c>
      <c r="J694" s="1" t="str">
        <f>"Результат підготовлено СНАП"</f>
        <v>Результат підготовлено СНАП</v>
      </c>
      <c r="K694" s="5">
        <v>45614</v>
      </c>
      <c r="L694" s="1" t="str">
        <f>"151.4"</f>
        <v>151.4</v>
      </c>
      <c r="M694" s="1" t="s">
        <v>22</v>
      </c>
      <c r="N694" s="1" t="s">
        <v>20</v>
      </c>
    </row>
    <row r="695" spans="1:14" x14ac:dyDescent="0.3">
      <c r="A695" s="1" t="str">
        <f>"4_1236/03193413-11/2024/Б"</f>
        <v>4_1236/03193413-11/2024/Б</v>
      </c>
      <c r="B695" s="6">
        <v>45602</v>
      </c>
      <c r="C695" s="1" t="str">
        <f>"00155"</f>
        <v>00155</v>
      </c>
      <c r="D695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95" s="1" t="str">
        <f>"03193413"</f>
        <v>03193413</v>
      </c>
      <c r="F69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95" s="1" t="str">
        <f t="shared" si="99"/>
        <v>Фізична особа</v>
      </c>
      <c r="H695" s="1" t="s">
        <v>20</v>
      </c>
      <c r="I695" s="1" t="s">
        <v>20</v>
      </c>
      <c r="J695" s="1" t="str">
        <f t="shared" ref="J695:J726" si="101">"Закрито"</f>
        <v>Закрито</v>
      </c>
      <c r="K695" s="5">
        <v>45608</v>
      </c>
      <c r="L695" s="1" t="s">
        <v>20</v>
      </c>
      <c r="M695" s="1" t="s">
        <v>22</v>
      </c>
      <c r="N695" s="5">
        <v>45608</v>
      </c>
    </row>
    <row r="696" spans="1:14" x14ac:dyDescent="0.3">
      <c r="A696" s="1" t="str">
        <f>"4_1237/03193413-11/2024/П"</f>
        <v>4_1237/03193413-11/2024/П</v>
      </c>
      <c r="B696" s="6">
        <v>45602</v>
      </c>
      <c r="C696" s="1" t="str">
        <f>"00133"</f>
        <v>00133</v>
      </c>
      <c r="D696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696" s="1" t="str">
        <f>"03193413"</f>
        <v>03193413</v>
      </c>
      <c r="F69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96" s="1" t="str">
        <f t="shared" si="99"/>
        <v>Фізична особа</v>
      </c>
      <c r="H696" s="1" t="s">
        <v>20</v>
      </c>
      <c r="I696" s="1" t="s">
        <v>20</v>
      </c>
      <c r="J696" s="1" t="str">
        <f t="shared" si="101"/>
        <v>Закрито</v>
      </c>
      <c r="K696" s="5">
        <v>45608</v>
      </c>
      <c r="L696" s="1" t="s">
        <v>20</v>
      </c>
      <c r="M696" s="1" t="s">
        <v>22</v>
      </c>
      <c r="N696" s="5">
        <v>45608</v>
      </c>
    </row>
    <row r="697" spans="1:14" x14ac:dyDescent="0.3">
      <c r="A697" s="1" t="str">
        <f>"28_635-11/2024/Б"</f>
        <v>28_635-11/2024/Б</v>
      </c>
      <c r="B697" s="6">
        <v>45602</v>
      </c>
      <c r="C697" s="1" t="str">
        <f>"00155"</f>
        <v>00155</v>
      </c>
      <c r="D697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697" s="1" t="str">
        <f>"03193413"</f>
        <v>03193413</v>
      </c>
      <c r="F69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697" s="1" t="str">
        <f t="shared" si="99"/>
        <v>Фізична особа</v>
      </c>
      <c r="H697" s="1" t="s">
        <v>20</v>
      </c>
      <c r="I697" s="1" t="s">
        <v>20</v>
      </c>
      <c r="J697" s="1" t="str">
        <f t="shared" si="101"/>
        <v>Закрито</v>
      </c>
      <c r="K697" s="5">
        <v>45615</v>
      </c>
      <c r="L697" s="1" t="s">
        <v>20</v>
      </c>
      <c r="M697" s="1" t="s">
        <v>22</v>
      </c>
      <c r="N697" s="5">
        <v>45615</v>
      </c>
    </row>
    <row r="698" spans="1:14" x14ac:dyDescent="0.3">
      <c r="A698" s="1" t="str">
        <f>"6_310/04054323-11/2024/М"</f>
        <v>6_310/04054323-11/2024/М</v>
      </c>
      <c r="B698" s="6">
        <v>45602</v>
      </c>
      <c r="C698" s="1" t="str">
        <f>""</f>
        <v/>
      </c>
      <c r="D698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698" s="1" t="str">
        <f>"04054323"</f>
        <v>04054323</v>
      </c>
      <c r="F698" s="1" t="str">
        <f>"Рогатинська міська рада"</f>
        <v>Рогатинська міська рада</v>
      </c>
      <c r="G698" s="1" t="str">
        <f t="shared" si="99"/>
        <v>Фізична особа</v>
      </c>
      <c r="H698" s="1" t="s">
        <v>20</v>
      </c>
      <c r="I698" s="1" t="s">
        <v>20</v>
      </c>
      <c r="J698" s="1" t="str">
        <f t="shared" si="101"/>
        <v>Закрито</v>
      </c>
      <c r="K698" s="5">
        <v>45604</v>
      </c>
      <c r="L698" s="1" t="s">
        <v>20</v>
      </c>
      <c r="M698" s="1" t="s">
        <v>22</v>
      </c>
      <c r="N698" s="5">
        <v>45604</v>
      </c>
    </row>
    <row r="699" spans="1:14" x14ac:dyDescent="0.3">
      <c r="A699" s="1" t="str">
        <f>"2_1909/2129-11/2024/Г"</f>
        <v>2_1909/2129-11/2024/Г</v>
      </c>
      <c r="B699" s="6">
        <v>45602</v>
      </c>
      <c r="C699" s="1" t="str">
        <f>"00047"</f>
        <v>00047</v>
      </c>
      <c r="D699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699" s="1" t="s">
        <v>20</v>
      </c>
      <c r="F699" s="1" t="str">
        <f t="shared" ref="F699:F709" si="102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699" s="1" t="str">
        <f t="shared" si="99"/>
        <v>Фізична особа</v>
      </c>
      <c r="H699" s="1" t="s">
        <v>20</v>
      </c>
      <c r="I699" s="1" t="s">
        <v>20</v>
      </c>
      <c r="J699" s="1" t="str">
        <f t="shared" si="101"/>
        <v>Закрито</v>
      </c>
      <c r="K699" s="5">
        <v>45602</v>
      </c>
      <c r="L699" s="1" t="s">
        <v>20</v>
      </c>
      <c r="M699" s="1" t="s">
        <v>22</v>
      </c>
      <c r="N699" s="5">
        <v>45602</v>
      </c>
    </row>
    <row r="700" spans="1:14" x14ac:dyDescent="0.3">
      <c r="A700" s="1" t="str">
        <f>"1_5648/2129-11/2024/В"</f>
        <v>1_5648/2129-11/2024/В</v>
      </c>
      <c r="B700" s="6">
        <v>45602</v>
      </c>
      <c r="C700" s="1" t="str">
        <f>"00038"</f>
        <v>00038</v>
      </c>
      <c r="D70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00" s="1" t="s">
        <v>20</v>
      </c>
      <c r="F700" s="1" t="str">
        <f t="shared" si="102"/>
        <v>Центр надання адміністративних послуг Рогатинської міської ради</v>
      </c>
      <c r="G700" s="1" t="str">
        <f t="shared" si="99"/>
        <v>Фізична особа</v>
      </c>
      <c r="H700" s="1" t="s">
        <v>20</v>
      </c>
      <c r="I700" s="1" t="s">
        <v>20</v>
      </c>
      <c r="J700" s="1" t="str">
        <f t="shared" si="101"/>
        <v>Закрито</v>
      </c>
      <c r="K700" s="6">
        <v>45602</v>
      </c>
      <c r="L700" s="1" t="s">
        <v>20</v>
      </c>
      <c r="M700" s="1" t="s">
        <v>22</v>
      </c>
      <c r="N700" s="5">
        <v>45602</v>
      </c>
    </row>
    <row r="701" spans="1:14" x14ac:dyDescent="0.3">
      <c r="A701" s="1" t="str">
        <f>"5_488/2129-11/2024/Т"</f>
        <v>5_488/2129-11/2024/Т</v>
      </c>
      <c r="B701" s="6">
        <v>45602</v>
      </c>
      <c r="C701" s="1" t="str">
        <f>"00054"</f>
        <v>00054</v>
      </c>
      <c r="D701" s="2" t="s">
        <v>2</v>
      </c>
      <c r="E701" s="1" t="s">
        <v>20</v>
      </c>
      <c r="F701" s="1" t="str">
        <f t="shared" si="102"/>
        <v>Центр надання адміністративних послуг Рогатинської міської ради</v>
      </c>
      <c r="G701" s="1" t="str">
        <f>"Юридична особа"</f>
        <v>Юридична особа</v>
      </c>
      <c r="H701" s="1" t="str">
        <f>"ТОВАРИСТВО З ОБМЕЖЕНОЮ ВІДПОВІДАЛЬНІСТЮ ""АБС ПЛАСТИК"""</f>
        <v>ТОВАРИСТВО З ОБМЕЖЕНОЮ ВІДПОВІДАЛЬНІСТЮ "АБС ПЛАСТИК"</v>
      </c>
      <c r="I701" s="1" t="str">
        <f>"33645751"</f>
        <v>33645751</v>
      </c>
      <c r="J701" s="1" t="str">
        <f t="shared" si="101"/>
        <v>Закрито</v>
      </c>
      <c r="K701" s="5">
        <v>45602</v>
      </c>
      <c r="L701" s="1" t="str">
        <f>"910.0"</f>
        <v>910.0</v>
      </c>
      <c r="M701" s="1" t="s">
        <v>22</v>
      </c>
      <c r="N701" s="5">
        <v>45602</v>
      </c>
    </row>
    <row r="702" spans="1:14" x14ac:dyDescent="0.3">
      <c r="A702" s="1" t="str">
        <f>"5_489/2129-11/2024/Р"</f>
        <v>5_489/2129-11/2024/Р</v>
      </c>
      <c r="B702" s="6">
        <v>45602</v>
      </c>
      <c r="C702" s="1" t="str">
        <f>"00054"</f>
        <v>00054</v>
      </c>
      <c r="D702" s="2" t="s">
        <v>2</v>
      </c>
      <c r="E702" s="1" t="s">
        <v>20</v>
      </c>
      <c r="F702" s="1" t="str">
        <f t="shared" si="102"/>
        <v>Центр надання адміністративних послуг Рогатинської міської ради</v>
      </c>
      <c r="G702" s="1" t="str">
        <f>"Юридична особа"</f>
        <v>Юридична особа</v>
      </c>
      <c r="H702" s="1" t="str">
        <f>"РОГАТИНСЬКИЙ ЗАКЛАД ДОШКІЛЬНОЇ ОСВІТИ (ЯСЛА-САДОК) №2 ""ДЗВІНОЧОК"" РОГАТИНСЬКОЇ МІСЬКОЇ РАДИ ІВАНО-ФРАНКІВСЬКОЇ ОБЛАСТІ"</f>
        <v>РОГАТИНСЬКИЙ ЗАКЛАД ДОШКІЛЬНОЇ ОСВІТИ (ЯСЛА-САДОК) №2 "ДЗВІНОЧОК" РОГАТИНСЬКОЇ МІСЬКОЇ РАДИ ІВАНО-ФРАНКІВСЬКОЇ ОБЛАСТІ</v>
      </c>
      <c r="I702" s="1" t="str">
        <f>"20561568"</f>
        <v>20561568</v>
      </c>
      <c r="J702" s="1" t="str">
        <f t="shared" si="101"/>
        <v>Закрито</v>
      </c>
      <c r="K702" s="5">
        <v>45602</v>
      </c>
      <c r="L702" s="1" t="str">
        <f>"910.0"</f>
        <v>910.0</v>
      </c>
      <c r="M702" s="1" t="s">
        <v>22</v>
      </c>
      <c r="N702" s="5">
        <v>45602</v>
      </c>
    </row>
    <row r="703" spans="1:14" x14ac:dyDescent="0.3">
      <c r="A703" s="1" t="str">
        <f>"1_5649/2129-11/2024/В"</f>
        <v>1_5649/2129-11/2024/В</v>
      </c>
      <c r="B703" s="6">
        <v>45602</v>
      </c>
      <c r="C703" s="1" t="str">
        <f>"00038"</f>
        <v>00038</v>
      </c>
      <c r="D70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03" s="1" t="s">
        <v>20</v>
      </c>
      <c r="F703" s="1" t="str">
        <f t="shared" si="102"/>
        <v>Центр надання адміністративних послуг Рогатинської міської ради</v>
      </c>
      <c r="G703" s="1" t="str">
        <f>"Фізична особа"</f>
        <v>Фізична особа</v>
      </c>
      <c r="H703" s="1" t="s">
        <v>20</v>
      </c>
      <c r="I703" s="1" t="s">
        <v>20</v>
      </c>
      <c r="J703" s="1" t="str">
        <f t="shared" si="101"/>
        <v>Закрито</v>
      </c>
      <c r="K703" s="6">
        <v>45602</v>
      </c>
      <c r="L703" s="1" t="s">
        <v>20</v>
      </c>
      <c r="M703" s="1" t="s">
        <v>22</v>
      </c>
      <c r="N703" s="5">
        <v>45602</v>
      </c>
    </row>
    <row r="704" spans="1:14" x14ac:dyDescent="0.3">
      <c r="A704" s="1" t="str">
        <f>"5_490/2129-11/2024/Т"</f>
        <v>5_490/2129-11/2024/Т</v>
      </c>
      <c r="B704" s="6">
        <v>45602</v>
      </c>
      <c r="C704" s="1" t="str">
        <f>"00054"</f>
        <v>00054</v>
      </c>
      <c r="D704" s="2" t="s">
        <v>2</v>
      </c>
      <c r="E704" s="1" t="s">
        <v>20</v>
      </c>
      <c r="F704" s="1" t="str">
        <f t="shared" si="102"/>
        <v>Центр надання адміністративних послуг Рогатинської міської ради</v>
      </c>
      <c r="G704" s="1" t="str">
        <f>"Юридична особа"</f>
        <v>Юридична особа</v>
      </c>
      <c r="H704" s="1" t="str">
        <f>"ТОВАРИСТВО З ОБМЕЖЕНОЮ ВІДПОВІДАЛЬНІСТЮ ""ТАНКЕР ПРОФ СЕРВІС"""</f>
        <v>ТОВАРИСТВО З ОБМЕЖЕНОЮ ВІДПОВІДАЛЬНІСТЮ "ТАНКЕР ПРОФ СЕРВІС"</v>
      </c>
      <c r="I704" s="1" t="str">
        <f>"45814552"</f>
        <v>45814552</v>
      </c>
      <c r="J704" s="1" t="str">
        <f t="shared" si="101"/>
        <v>Закрито</v>
      </c>
      <c r="K704" s="5">
        <v>45602</v>
      </c>
      <c r="L704" s="1" t="str">
        <f>"910.0"</f>
        <v>910.0</v>
      </c>
      <c r="M704" s="1" t="s">
        <v>22</v>
      </c>
      <c r="N704" s="5">
        <v>45602</v>
      </c>
    </row>
    <row r="705" spans="1:14" x14ac:dyDescent="0.3">
      <c r="A705" s="1" t="str">
        <f>"2_1910/2129-11/2024/Ж"</f>
        <v>2_1910/2129-11/2024/Ж</v>
      </c>
      <c r="B705" s="6">
        <v>45602</v>
      </c>
      <c r="C705" s="1" t="str">
        <f>"00047"</f>
        <v>00047</v>
      </c>
      <c r="D705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705" s="1" t="s">
        <v>20</v>
      </c>
      <c r="F705" s="1" t="str">
        <f t="shared" si="102"/>
        <v>Центр надання адміністративних послуг Рогатинської міської ради</v>
      </c>
      <c r="G705" s="1" t="str">
        <f>"Фізична особа"</f>
        <v>Фізична особа</v>
      </c>
      <c r="H705" s="1" t="s">
        <v>20</v>
      </c>
      <c r="I705" s="1" t="s">
        <v>20</v>
      </c>
      <c r="J705" s="1" t="str">
        <f t="shared" si="101"/>
        <v>Закрито</v>
      </c>
      <c r="K705" s="5">
        <v>45602</v>
      </c>
      <c r="L705" s="1" t="s">
        <v>20</v>
      </c>
      <c r="M705" s="1" t="s">
        <v>22</v>
      </c>
      <c r="N705" s="5">
        <v>45602</v>
      </c>
    </row>
    <row r="706" spans="1:14" x14ac:dyDescent="0.3">
      <c r="A706" s="1" t="str">
        <f>"5_491/2129-11/2024/Ф"</f>
        <v>5_491/2129-11/2024/Ф</v>
      </c>
      <c r="B706" s="6">
        <v>45602</v>
      </c>
      <c r="C706" s="1" t="str">
        <f>"00108"</f>
        <v>00108</v>
      </c>
      <c r="D706" s="2" t="str">
        <f>"Державна реєстрація змін до відомостей про фізичну особу – підприємця, що містяться в Єдиному державному реєстрі юридичних осіб,  фізичних осіб – підприємців та громадських формувань"</f>
        <v>Державна реєстрація змін до відомостей про фізичну особу – підприємця, що містяться в Єдиному державному реєстрі юридичних осіб,  фізичних осіб – підприємців та громадських формувань</v>
      </c>
      <c r="E706" s="1" t="s">
        <v>20</v>
      </c>
      <c r="F706" s="1" t="str">
        <f t="shared" si="102"/>
        <v>Центр надання адміністративних послуг Рогатинської міської ради</v>
      </c>
      <c r="G706" s="1" t="str">
        <f>"Фізична особа - підприємець"</f>
        <v>Фізична особа - підприємець</v>
      </c>
      <c r="H706" s="1" t="str">
        <f>"ФОП ВАЛЬКО АНДРІЙ МИРОСЛАВОВИЧ"</f>
        <v>ФОП ВАЛЬКО АНДРІЙ МИРОСЛАВОВИЧ</v>
      </c>
      <c r="I706" s="1" t="s">
        <v>20</v>
      </c>
      <c r="J706" s="1" t="str">
        <f t="shared" si="101"/>
        <v>Закрито</v>
      </c>
      <c r="K706" s="1" t="s">
        <v>20</v>
      </c>
      <c r="L706" s="1" t="s">
        <v>20</v>
      </c>
      <c r="M706" s="1" t="s">
        <v>22</v>
      </c>
      <c r="N706" s="1" t="s">
        <v>20</v>
      </c>
    </row>
    <row r="707" spans="1:14" x14ac:dyDescent="0.3">
      <c r="A707" s="1" t="str">
        <f>"2_1911/2129-11/2024/с"</f>
        <v>2_1911/2129-11/2024/с</v>
      </c>
      <c r="B707" s="6">
        <v>45602</v>
      </c>
      <c r="C707" s="1" t="str">
        <f>"00042"</f>
        <v>00042</v>
      </c>
      <c r="D707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707" s="1" t="s">
        <v>20</v>
      </c>
      <c r="F707" s="1" t="str">
        <f t="shared" si="102"/>
        <v>Центр надання адміністративних послуг Рогатинської міської ради</v>
      </c>
      <c r="G707" s="1" t="str">
        <f>"Юридична особа"</f>
        <v>Юридична особа</v>
      </c>
      <c r="H707" s="1" t="str">
        <f>"селянсько-фермерське господарство ""Багрія Андрія Михайловича"""</f>
        <v>селянсько-фермерське господарство "Багрія Андрія Михайловича"</v>
      </c>
      <c r="I707" s="1" t="str">
        <f>"25067028"</f>
        <v>25067028</v>
      </c>
      <c r="J707" s="1" t="str">
        <f t="shared" si="101"/>
        <v>Закрито</v>
      </c>
      <c r="K707" s="5">
        <v>45602</v>
      </c>
      <c r="L707" s="1" t="s">
        <v>20</v>
      </c>
      <c r="M707" s="1" t="s">
        <v>22</v>
      </c>
      <c r="N707" s="5">
        <v>45602</v>
      </c>
    </row>
    <row r="708" spans="1:14" x14ac:dyDescent="0.3">
      <c r="A708" s="1" t="str">
        <f>"2_1912/2129-11/2024/с"</f>
        <v>2_1912/2129-11/2024/с</v>
      </c>
      <c r="B708" s="6">
        <v>45602</v>
      </c>
      <c r="C708" s="1" t="str">
        <f>"00042"</f>
        <v>00042</v>
      </c>
      <c r="D708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708" s="1" t="s">
        <v>20</v>
      </c>
      <c r="F708" s="1" t="str">
        <f t="shared" si="102"/>
        <v>Центр надання адміністративних послуг Рогатинської міської ради</v>
      </c>
      <c r="G708" s="1" t="str">
        <f>"Юридична особа"</f>
        <v>Юридична особа</v>
      </c>
      <c r="H708" s="1" t="str">
        <f>"селянсько-фермерське господарство ""Багрія Андрія Михайловича"""</f>
        <v>селянсько-фермерське господарство "Багрія Андрія Михайловича"</v>
      </c>
      <c r="I708" s="1" t="str">
        <f>"25067028"</f>
        <v>25067028</v>
      </c>
      <c r="J708" s="1" t="str">
        <f t="shared" si="101"/>
        <v>Закрито</v>
      </c>
      <c r="K708" s="5">
        <v>45602</v>
      </c>
      <c r="L708" s="1" t="s">
        <v>20</v>
      </c>
      <c r="M708" s="1" t="s">
        <v>22</v>
      </c>
      <c r="N708" s="5">
        <v>45602</v>
      </c>
    </row>
    <row r="709" spans="1:14" x14ac:dyDescent="0.3">
      <c r="A709" s="1" t="str">
        <f>"2_1913/2129-11/2024/с"</f>
        <v>2_1913/2129-11/2024/с</v>
      </c>
      <c r="B709" s="6">
        <v>45602</v>
      </c>
      <c r="C709" s="1" t="str">
        <f>"00042"</f>
        <v>00042</v>
      </c>
      <c r="D709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709" s="1" t="s">
        <v>20</v>
      </c>
      <c r="F709" s="1" t="str">
        <f t="shared" si="102"/>
        <v>Центр надання адміністративних послуг Рогатинської міської ради</v>
      </c>
      <c r="G709" s="1" t="str">
        <f>"Юридична особа"</f>
        <v>Юридична особа</v>
      </c>
      <c r="H709" s="1" t="str">
        <f>"селянсько-фермерське господарство ""Багрія Андрія Михайловича"""</f>
        <v>селянсько-фермерське господарство "Багрія Андрія Михайловича"</v>
      </c>
      <c r="I709" s="1" t="str">
        <f>"25067028"</f>
        <v>25067028</v>
      </c>
      <c r="J709" s="1" t="str">
        <f t="shared" si="101"/>
        <v>Закрито</v>
      </c>
      <c r="K709" s="5">
        <v>45602</v>
      </c>
      <c r="L709" s="1" t="s">
        <v>20</v>
      </c>
      <c r="M709" s="1" t="s">
        <v>22</v>
      </c>
      <c r="N709" s="5">
        <v>45602</v>
      </c>
    </row>
    <row r="710" spans="1:14" x14ac:dyDescent="0.3">
      <c r="A710" s="1" t="str">
        <f>"4_1238/03193413-11/2024/Г"</f>
        <v>4_1238/03193413-11/2024/Г</v>
      </c>
      <c r="B710" s="6">
        <v>45602</v>
      </c>
      <c r="C710" s="1" t="str">
        <f>"00103"</f>
        <v>00103</v>
      </c>
      <c r="D710" s="2" t="s">
        <v>1</v>
      </c>
      <c r="E710" s="1" t="str">
        <f>"03193413"</f>
        <v>03193413</v>
      </c>
      <c r="F71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710" s="1" t="str">
        <f>"Фізична особа"</f>
        <v>Фізична особа</v>
      </c>
      <c r="H710" s="1" t="s">
        <v>20</v>
      </c>
      <c r="I710" s="1" t="s">
        <v>20</v>
      </c>
      <c r="J710" s="1" t="str">
        <f t="shared" si="101"/>
        <v>Закрито</v>
      </c>
      <c r="K710" s="5">
        <v>45608</v>
      </c>
      <c r="L710" s="1" t="s">
        <v>20</v>
      </c>
      <c r="M710" s="1" t="s">
        <v>22</v>
      </c>
      <c r="N710" s="5">
        <v>45608</v>
      </c>
    </row>
    <row r="711" spans="1:14" x14ac:dyDescent="0.3">
      <c r="A711" s="1" t="str">
        <f>"2_1914/2129-11/2024/с"</f>
        <v>2_1914/2129-11/2024/с</v>
      </c>
      <c r="B711" s="6">
        <v>45602</v>
      </c>
      <c r="C711" s="1" t="str">
        <f>"00042"</f>
        <v>00042</v>
      </c>
      <c r="D711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711" s="1" t="s">
        <v>20</v>
      </c>
      <c r="F71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11" s="1" t="str">
        <f>"Юридична особа"</f>
        <v>Юридична особа</v>
      </c>
      <c r="H711" s="1" t="str">
        <f>"селянсько-фермерське господарство ""Багрія Андрія Михайловича"""</f>
        <v>селянсько-фермерське господарство "Багрія Андрія Михайловича"</v>
      </c>
      <c r="I711" s="1" t="str">
        <f>"25067028"</f>
        <v>25067028</v>
      </c>
      <c r="J711" s="1" t="str">
        <f t="shared" si="101"/>
        <v>Закрито</v>
      </c>
      <c r="K711" s="5">
        <v>45602</v>
      </c>
      <c r="L711" s="1" t="s">
        <v>20</v>
      </c>
      <c r="M711" s="1" t="s">
        <v>22</v>
      </c>
      <c r="N711" s="5">
        <v>45602</v>
      </c>
    </row>
    <row r="712" spans="1:14" x14ac:dyDescent="0.3">
      <c r="A712" s="1" t="str">
        <f>"1_5650/2129-11/2024/Ч"</f>
        <v>1_5650/2129-11/2024/Ч</v>
      </c>
      <c r="B712" s="6">
        <v>45602</v>
      </c>
      <c r="C712" s="1" t="str">
        <f>"00038"</f>
        <v>00038</v>
      </c>
      <c r="D71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12" s="1" t="s">
        <v>20</v>
      </c>
      <c r="F71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12" s="1" t="str">
        <f>"Фізична особа"</f>
        <v>Фізична особа</v>
      </c>
      <c r="H712" s="1" t="s">
        <v>20</v>
      </c>
      <c r="I712" s="1" t="s">
        <v>20</v>
      </c>
      <c r="J712" s="1" t="str">
        <f t="shared" si="101"/>
        <v>Закрито</v>
      </c>
      <c r="K712" s="6">
        <v>45602</v>
      </c>
      <c r="L712" s="1" t="s">
        <v>20</v>
      </c>
      <c r="M712" s="1" t="s">
        <v>22</v>
      </c>
      <c r="N712" s="5">
        <v>45602</v>
      </c>
    </row>
    <row r="713" spans="1:14" x14ac:dyDescent="0.3">
      <c r="A713" s="1" t="str">
        <f>"2_1915/2129-11/2024/с"</f>
        <v>2_1915/2129-11/2024/с</v>
      </c>
      <c r="B713" s="6">
        <v>45602</v>
      </c>
      <c r="C713" s="1" t="str">
        <f>"00042"</f>
        <v>00042</v>
      </c>
      <c r="D713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713" s="1" t="s">
        <v>20</v>
      </c>
      <c r="F7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13" s="1" t="str">
        <f>"Юридична особа,Фізична особа"</f>
        <v>Юридична особа,Фізична особа</v>
      </c>
      <c r="H713" s="1" t="str">
        <f>"селянсько-фермерське господарство ""Багрія Андрія Михайловича"",Пиріг Мирослава Миколаївна"</f>
        <v>селянсько-фермерське господарство "Багрія Андрія Михайловича",Пиріг Мирослава Миколаївна</v>
      </c>
      <c r="I713" s="1" t="str">
        <f>"25067028,1672102127"</f>
        <v>25067028,1672102127</v>
      </c>
      <c r="J713" s="1" t="str">
        <f t="shared" si="101"/>
        <v>Закрито</v>
      </c>
      <c r="K713" s="5">
        <v>45602</v>
      </c>
      <c r="L713" s="1" t="s">
        <v>20</v>
      </c>
      <c r="M713" s="1" t="s">
        <v>22</v>
      </c>
      <c r="N713" s="5">
        <v>45602</v>
      </c>
    </row>
    <row r="714" spans="1:14" x14ac:dyDescent="0.3">
      <c r="A714" s="1" t="str">
        <f>"6_311/04054323-11/2024/Б"</f>
        <v>6_311/04054323-11/2024/Б</v>
      </c>
      <c r="B714" s="6">
        <v>45602</v>
      </c>
      <c r="C714" s="1" t="str">
        <f>""</f>
        <v/>
      </c>
      <c r="D714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714" s="1" t="str">
        <f>"04054323"</f>
        <v>04054323</v>
      </c>
      <c r="F714" s="1" t="str">
        <f>"Рогатинська міська рада"</f>
        <v>Рогатинська міська рада</v>
      </c>
      <c r="G714" s="1" t="str">
        <f>"Фізична особа"</f>
        <v>Фізична особа</v>
      </c>
      <c r="H714" s="1" t="s">
        <v>20</v>
      </c>
      <c r="I714" s="1" t="s">
        <v>20</v>
      </c>
      <c r="J714" s="1" t="str">
        <f t="shared" si="101"/>
        <v>Закрито</v>
      </c>
      <c r="K714" s="5">
        <v>45604</v>
      </c>
      <c r="L714" s="1" t="s">
        <v>20</v>
      </c>
      <c r="M714" s="1" t="s">
        <v>22</v>
      </c>
      <c r="N714" s="5">
        <v>45604</v>
      </c>
    </row>
    <row r="715" spans="1:14" x14ac:dyDescent="0.3">
      <c r="A715" s="1" t="str">
        <f>"1_5651/2129-11/2024/К"</f>
        <v>1_5651/2129-11/2024/К</v>
      </c>
      <c r="B715" s="6">
        <v>45602</v>
      </c>
      <c r="C715" s="1" t="str">
        <f>"00038"</f>
        <v>00038</v>
      </c>
      <c r="D71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15" s="1" t="s">
        <v>20</v>
      </c>
      <c r="F715" s="1" t="str">
        <f t="shared" ref="F715:F722" si="103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15" s="1" t="str">
        <f>"Фізична особа"</f>
        <v>Фізична особа</v>
      </c>
      <c r="H715" s="1" t="s">
        <v>20</v>
      </c>
      <c r="I715" s="1" t="s">
        <v>20</v>
      </c>
      <c r="J715" s="1" t="str">
        <f t="shared" si="101"/>
        <v>Закрито</v>
      </c>
      <c r="K715" s="6">
        <v>45602</v>
      </c>
      <c r="L715" s="1" t="s">
        <v>20</v>
      </c>
      <c r="M715" s="1" t="s">
        <v>22</v>
      </c>
      <c r="N715" s="5">
        <v>45602</v>
      </c>
    </row>
    <row r="716" spans="1:14" x14ac:dyDescent="0.3">
      <c r="A716" s="1" t="str">
        <f>"1_5652/2129-11/2024/Л"</f>
        <v>1_5652/2129-11/2024/Л</v>
      </c>
      <c r="B716" s="6">
        <v>45602</v>
      </c>
      <c r="C716" s="1" t="str">
        <f>"00038"</f>
        <v>00038</v>
      </c>
      <c r="D71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16" s="1" t="s">
        <v>20</v>
      </c>
      <c r="F716" s="1" t="str">
        <f t="shared" si="103"/>
        <v>Центр надання адміністративних послуг Рогатинської міської ради</v>
      </c>
      <c r="G716" s="1" t="str">
        <f>"Фізична особа"</f>
        <v>Фізична особа</v>
      </c>
      <c r="H716" s="1" t="s">
        <v>20</v>
      </c>
      <c r="I716" s="1" t="s">
        <v>20</v>
      </c>
      <c r="J716" s="1" t="str">
        <f t="shared" si="101"/>
        <v>Закрито</v>
      </c>
      <c r="K716" s="6">
        <v>45602</v>
      </c>
      <c r="L716" s="1" t="s">
        <v>20</v>
      </c>
      <c r="M716" s="1" t="s">
        <v>22</v>
      </c>
      <c r="N716" s="5">
        <v>45602</v>
      </c>
    </row>
    <row r="717" spans="1:14" x14ac:dyDescent="0.3">
      <c r="A717" s="1" t="str">
        <f>"2_1916/2129-11/2024/П"</f>
        <v>2_1916/2129-11/2024/П</v>
      </c>
      <c r="B717" s="6">
        <v>45602</v>
      </c>
      <c r="C717" s="1" t="str">
        <f>"00042"</f>
        <v>00042</v>
      </c>
      <c r="D717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717" s="1" t="s">
        <v>20</v>
      </c>
      <c r="F717" s="1" t="str">
        <f t="shared" si="103"/>
        <v>Центр надання адміністративних послуг Рогатинської міської ради</v>
      </c>
      <c r="G717" s="1" t="str">
        <f>"Юридична особа,Фізична особа"</f>
        <v>Юридична особа,Фізична особа</v>
      </c>
      <c r="H717" s="1" t="str">
        <f>"селянсько-фермерське господарство ""Багрія Андрія Михайловича"",Пиріг Мирослава Миколаївна"</f>
        <v>селянсько-фермерське господарство "Багрія Андрія Михайловича",Пиріг Мирослава Миколаївна</v>
      </c>
      <c r="I717" s="1" t="str">
        <f>"25067028,1672102127"</f>
        <v>25067028,1672102127</v>
      </c>
      <c r="J717" s="1" t="str">
        <f t="shared" si="101"/>
        <v>Закрито</v>
      </c>
      <c r="K717" s="5">
        <v>45602</v>
      </c>
      <c r="L717" s="1" t="s">
        <v>20</v>
      </c>
      <c r="M717" s="1" t="s">
        <v>22</v>
      </c>
      <c r="N717" s="5">
        <v>45602</v>
      </c>
    </row>
    <row r="718" spans="1:14" x14ac:dyDescent="0.3">
      <c r="A718" s="1" t="str">
        <f>"2_1917/2129-11/2024/Ч"</f>
        <v>2_1917/2129-11/2024/Ч</v>
      </c>
      <c r="B718" s="6">
        <v>45602</v>
      </c>
      <c r="C718" s="1" t="str">
        <f>"00042"</f>
        <v>00042</v>
      </c>
      <c r="D718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718" s="1" t="s">
        <v>20</v>
      </c>
      <c r="F718" s="1" t="str">
        <f t="shared" si="103"/>
        <v>Центр надання адміністративних послуг Рогатинської міської ради</v>
      </c>
      <c r="G718" s="1" t="s">
        <v>21</v>
      </c>
      <c r="H718" s="1" t="str">
        <f>"Чачунь Богдан Ігорович,селянсько-фермерське господарство ""Багрія Андрія Михайловича"""</f>
        <v>Чачунь Богдан Ігорович,селянсько-фермерське господарство "Багрія Андрія Михайловича"</v>
      </c>
      <c r="I718" s="1" t="s">
        <v>20</v>
      </c>
      <c r="J718" s="1" t="str">
        <f t="shared" si="101"/>
        <v>Закрито</v>
      </c>
      <c r="K718" s="5">
        <v>45602</v>
      </c>
      <c r="L718" s="1" t="s">
        <v>20</v>
      </c>
      <c r="M718" s="1" t="s">
        <v>22</v>
      </c>
      <c r="N718" s="5">
        <v>45602</v>
      </c>
    </row>
    <row r="719" spans="1:14" x14ac:dyDescent="0.3">
      <c r="A719" s="1" t="str">
        <f>"1_5653/2129-11/2024/В"</f>
        <v>1_5653/2129-11/2024/В</v>
      </c>
      <c r="B719" s="6">
        <v>45602</v>
      </c>
      <c r="C719" s="1" t="str">
        <f>"00038"</f>
        <v>00038</v>
      </c>
      <c r="D71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19" s="1" t="s">
        <v>20</v>
      </c>
      <c r="F719" s="1" t="str">
        <f t="shared" si="103"/>
        <v>Центр надання адміністративних послуг Рогатинської міської ради</v>
      </c>
      <c r="G719" s="1" t="str">
        <f>"Фізична особа"</f>
        <v>Фізична особа</v>
      </c>
      <c r="H719" s="1" t="s">
        <v>20</v>
      </c>
      <c r="I719" s="1" t="s">
        <v>20</v>
      </c>
      <c r="J719" s="1" t="str">
        <f t="shared" si="101"/>
        <v>Закрито</v>
      </c>
      <c r="K719" s="6">
        <v>45602</v>
      </c>
      <c r="L719" s="1" t="s">
        <v>20</v>
      </c>
      <c r="M719" s="1" t="s">
        <v>22</v>
      </c>
      <c r="N719" s="5">
        <v>45602</v>
      </c>
    </row>
    <row r="720" spans="1:14" x14ac:dyDescent="0.3">
      <c r="A720" s="1" t="str">
        <f>"1_5654/2129-11/2024/В"</f>
        <v>1_5654/2129-11/2024/В</v>
      </c>
      <c r="B720" s="6">
        <v>45602</v>
      </c>
      <c r="C720" s="1" t="str">
        <f>"00038"</f>
        <v>00038</v>
      </c>
      <c r="D72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20" s="1" t="s">
        <v>20</v>
      </c>
      <c r="F720" s="1" t="str">
        <f t="shared" si="103"/>
        <v>Центр надання адміністративних послуг Рогатинської міської ради</v>
      </c>
      <c r="G720" s="1" t="str">
        <f>"Фізична особа"</f>
        <v>Фізична особа</v>
      </c>
      <c r="H720" s="1" t="s">
        <v>20</v>
      </c>
      <c r="I720" s="1" t="s">
        <v>20</v>
      </c>
      <c r="J720" s="1" t="str">
        <f t="shared" si="101"/>
        <v>Закрито</v>
      </c>
      <c r="K720" s="6">
        <v>45602</v>
      </c>
      <c r="L720" s="1" t="s">
        <v>20</v>
      </c>
      <c r="M720" s="1" t="s">
        <v>22</v>
      </c>
      <c r="N720" s="5">
        <v>45602</v>
      </c>
    </row>
    <row r="721" spans="1:14" x14ac:dyDescent="0.3">
      <c r="A721" s="1" t="str">
        <f>"2_1918/2129-11/2024/п"</f>
        <v>2_1918/2129-11/2024/п</v>
      </c>
      <c r="B721" s="6">
        <v>45602</v>
      </c>
      <c r="C721" s="1" t="str">
        <f>"00042"</f>
        <v>00042</v>
      </c>
      <c r="D721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721" s="1" t="s">
        <v>20</v>
      </c>
      <c r="F721" s="1" t="str">
        <f t="shared" si="103"/>
        <v>Центр надання адміністративних послуг Рогатинської міської ради</v>
      </c>
      <c r="G721" s="1" t="str">
        <f>"Юридична особа"</f>
        <v>Юридична особа</v>
      </c>
      <c r="H721" s="1" t="str">
        <f>"приватне акціонерне товариство ""Національна енергетична компанія ""Укренерго"""</f>
        <v>приватне акціонерне товариство "Національна енергетична компанія "Укренерго"</v>
      </c>
      <c r="I721" s="1" t="str">
        <f>"00100227"</f>
        <v>00100227</v>
      </c>
      <c r="J721" s="1" t="str">
        <f t="shared" si="101"/>
        <v>Закрито</v>
      </c>
      <c r="K721" s="5">
        <v>45602</v>
      </c>
      <c r="L721" s="1" t="s">
        <v>20</v>
      </c>
      <c r="M721" s="1" t="s">
        <v>22</v>
      </c>
      <c r="N721" s="5">
        <v>45602</v>
      </c>
    </row>
    <row r="722" spans="1:14" x14ac:dyDescent="0.3">
      <c r="A722" s="1" t="str">
        <f>"1_5655/2129-11/2024/Н"</f>
        <v>1_5655/2129-11/2024/Н</v>
      </c>
      <c r="B722" s="6">
        <v>45602</v>
      </c>
      <c r="C722" s="1" t="str">
        <f>"00038"</f>
        <v>00038</v>
      </c>
      <c r="D72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22" s="1" t="s">
        <v>20</v>
      </c>
      <c r="F722" s="1" t="str">
        <f t="shared" si="103"/>
        <v>Центр надання адміністративних послуг Рогатинської міської ради</v>
      </c>
      <c r="G722" s="1" t="str">
        <f t="shared" ref="G722:G736" si="104">"Фізична особа"</f>
        <v>Фізична особа</v>
      </c>
      <c r="H722" s="1" t="s">
        <v>20</v>
      </c>
      <c r="I722" s="1" t="s">
        <v>20</v>
      </c>
      <c r="J722" s="1" t="str">
        <f t="shared" si="101"/>
        <v>Закрито</v>
      </c>
      <c r="K722" s="6">
        <v>45602</v>
      </c>
      <c r="L722" s="1" t="s">
        <v>20</v>
      </c>
      <c r="M722" s="1" t="s">
        <v>22</v>
      </c>
      <c r="N722" s="5">
        <v>45602</v>
      </c>
    </row>
    <row r="723" spans="1:14" x14ac:dyDescent="0.3">
      <c r="A723" s="1" t="str">
        <f>"9_1599/04054323-11/2024/К"</f>
        <v>9_1599/04054323-11/2024/К</v>
      </c>
      <c r="B723" s="6">
        <v>45602</v>
      </c>
      <c r="C723" s="1" t="str">
        <f>"01-1"</f>
        <v>01-1</v>
      </c>
      <c r="D723" s="2" t="s">
        <v>0</v>
      </c>
      <c r="E723" s="1" t="str">
        <f>"04054323"</f>
        <v>04054323</v>
      </c>
      <c r="F723" s="1" t="str">
        <f>"Рогатинська міська рада"</f>
        <v>Рогатинська міська рада</v>
      </c>
      <c r="G723" s="1" t="str">
        <f t="shared" si="104"/>
        <v>Фізична особа</v>
      </c>
      <c r="H723" s="1" t="s">
        <v>20</v>
      </c>
      <c r="I723" s="1" t="s">
        <v>20</v>
      </c>
      <c r="J723" s="1" t="str">
        <f t="shared" si="101"/>
        <v>Закрито</v>
      </c>
      <c r="K723" s="5">
        <v>45637</v>
      </c>
      <c r="L723" s="1" t="s">
        <v>20</v>
      </c>
      <c r="M723" s="1" t="s">
        <v>22</v>
      </c>
      <c r="N723" s="5">
        <v>45637</v>
      </c>
    </row>
    <row r="724" spans="1:14" x14ac:dyDescent="0.3">
      <c r="A724" s="1" t="str">
        <f>"3_827-11/2024/К"</f>
        <v>3_827-11/2024/К</v>
      </c>
      <c r="B724" s="6">
        <v>45602</v>
      </c>
      <c r="C724" s="1" t="str">
        <f>"00133"</f>
        <v>00133</v>
      </c>
      <c r="D724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724" s="1" t="str">
        <f>"03193413"</f>
        <v>03193413</v>
      </c>
      <c r="F72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724" s="1" t="str">
        <f t="shared" si="104"/>
        <v>Фізична особа</v>
      </c>
      <c r="H724" s="1" t="s">
        <v>20</v>
      </c>
      <c r="I724" s="1" t="s">
        <v>20</v>
      </c>
      <c r="J724" s="1" t="str">
        <f t="shared" si="101"/>
        <v>Закрито</v>
      </c>
      <c r="K724" s="5">
        <v>45615</v>
      </c>
      <c r="L724" s="1" t="s">
        <v>20</v>
      </c>
      <c r="M724" s="1" t="s">
        <v>22</v>
      </c>
      <c r="N724" s="5">
        <v>45615</v>
      </c>
    </row>
    <row r="725" spans="1:14" x14ac:dyDescent="0.3">
      <c r="A725" s="1" t="str">
        <f>"1_5656/2129-11/2024/Д"</f>
        <v>1_5656/2129-11/2024/Д</v>
      </c>
      <c r="B725" s="6">
        <v>45602</v>
      </c>
      <c r="C725" s="1" t="str">
        <f>"00038"</f>
        <v>00038</v>
      </c>
      <c r="D72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25" s="1" t="s">
        <v>20</v>
      </c>
      <c r="F72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25" s="1" t="str">
        <f t="shared" si="104"/>
        <v>Фізична особа</v>
      </c>
      <c r="H725" s="1" t="s">
        <v>20</v>
      </c>
      <c r="I725" s="1" t="s">
        <v>20</v>
      </c>
      <c r="J725" s="1" t="str">
        <f t="shared" si="101"/>
        <v>Закрито</v>
      </c>
      <c r="K725" s="6">
        <v>45602</v>
      </c>
      <c r="L725" s="1" t="s">
        <v>20</v>
      </c>
      <c r="M725" s="1" t="s">
        <v>22</v>
      </c>
      <c r="N725" s="5">
        <v>45602</v>
      </c>
    </row>
    <row r="726" spans="1:14" x14ac:dyDescent="0.3">
      <c r="A726" s="1" t="str">
        <f>"1_5657/2129-11/2024/М"</f>
        <v>1_5657/2129-11/2024/М</v>
      </c>
      <c r="B726" s="6">
        <v>45602</v>
      </c>
      <c r="C726" s="1" t="str">
        <f>"00038"</f>
        <v>00038</v>
      </c>
      <c r="D72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26" s="1" t="s">
        <v>20</v>
      </c>
      <c r="F72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26" s="1" t="str">
        <f t="shared" si="104"/>
        <v>Фізична особа</v>
      </c>
      <c r="H726" s="1" t="s">
        <v>20</v>
      </c>
      <c r="I726" s="1" t="s">
        <v>20</v>
      </c>
      <c r="J726" s="1" t="str">
        <f t="shared" si="101"/>
        <v>Закрито</v>
      </c>
      <c r="K726" s="6">
        <v>45602</v>
      </c>
      <c r="L726" s="1" t="s">
        <v>20</v>
      </c>
      <c r="M726" s="1" t="s">
        <v>22</v>
      </c>
      <c r="N726" s="5">
        <v>45602</v>
      </c>
    </row>
    <row r="727" spans="1:14" x14ac:dyDescent="0.3">
      <c r="A727" s="1" t="str">
        <f>"1_5658/2129-11/2024/В"</f>
        <v>1_5658/2129-11/2024/В</v>
      </c>
      <c r="B727" s="6">
        <v>45602</v>
      </c>
      <c r="C727" s="1" t="str">
        <f>"00038"</f>
        <v>00038</v>
      </c>
      <c r="D72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27" s="1" t="s">
        <v>20</v>
      </c>
      <c r="F72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27" s="1" t="str">
        <f t="shared" si="104"/>
        <v>Фізична особа</v>
      </c>
      <c r="H727" s="1" t="s">
        <v>20</v>
      </c>
      <c r="I727" s="1" t="s">
        <v>20</v>
      </c>
      <c r="J727" s="1" t="str">
        <f t="shared" ref="J727:J758" si="105">"Закрито"</f>
        <v>Закрито</v>
      </c>
      <c r="K727" s="6">
        <v>45602</v>
      </c>
      <c r="L727" s="1" t="s">
        <v>20</v>
      </c>
      <c r="M727" s="1" t="s">
        <v>22</v>
      </c>
      <c r="N727" s="5">
        <v>45602</v>
      </c>
    </row>
    <row r="728" spans="1:14" x14ac:dyDescent="0.3">
      <c r="A728" s="1" t="str">
        <f>"6_312/04054323-11/2024/Ч"</f>
        <v>6_312/04054323-11/2024/Ч</v>
      </c>
      <c r="B728" s="6">
        <v>45602</v>
      </c>
      <c r="C728" s="1" t="str">
        <f>""</f>
        <v/>
      </c>
      <c r="D728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728" s="1" t="str">
        <f>"04054323"</f>
        <v>04054323</v>
      </c>
      <c r="F728" s="1" t="str">
        <f>"Рогатинська міська рада"</f>
        <v>Рогатинська міська рада</v>
      </c>
      <c r="G728" s="1" t="str">
        <f t="shared" si="104"/>
        <v>Фізична особа</v>
      </c>
      <c r="H728" s="1" t="s">
        <v>20</v>
      </c>
      <c r="I728" s="1" t="s">
        <v>20</v>
      </c>
      <c r="J728" s="1" t="str">
        <f t="shared" si="105"/>
        <v>Закрито</v>
      </c>
      <c r="K728" s="5">
        <v>45604</v>
      </c>
      <c r="L728" s="1" t="s">
        <v>20</v>
      </c>
      <c r="M728" s="1" t="s">
        <v>22</v>
      </c>
      <c r="N728" s="5">
        <v>45604</v>
      </c>
    </row>
    <row r="729" spans="1:14" x14ac:dyDescent="0.3">
      <c r="A729" s="1" t="str">
        <f>"1_5659/2129-11/2024/В"</f>
        <v>1_5659/2129-11/2024/В</v>
      </c>
      <c r="B729" s="6">
        <v>45602</v>
      </c>
      <c r="C729" s="1" t="str">
        <f>"00038"</f>
        <v>00038</v>
      </c>
      <c r="D72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29" s="1" t="s">
        <v>20</v>
      </c>
      <c r="F72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29" s="1" t="str">
        <f t="shared" si="104"/>
        <v>Фізична особа</v>
      </c>
      <c r="H729" s="1" t="s">
        <v>20</v>
      </c>
      <c r="I729" s="1" t="s">
        <v>20</v>
      </c>
      <c r="J729" s="1" t="str">
        <f t="shared" si="105"/>
        <v>Закрито</v>
      </c>
      <c r="K729" s="6">
        <v>45602</v>
      </c>
      <c r="L729" s="1" t="s">
        <v>20</v>
      </c>
      <c r="M729" s="1" t="s">
        <v>22</v>
      </c>
      <c r="N729" s="5">
        <v>45602</v>
      </c>
    </row>
    <row r="730" spans="1:14" x14ac:dyDescent="0.3">
      <c r="A730" s="1" t="str">
        <f>"9_1600/04054323-11/2024/К"</f>
        <v>9_1600/04054323-11/2024/К</v>
      </c>
      <c r="B730" s="6">
        <v>45602</v>
      </c>
      <c r="C730" s="1" t="str">
        <f>"01"</f>
        <v>01</v>
      </c>
      <c r="D730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730" s="1" t="str">
        <f>"04054323"</f>
        <v>04054323</v>
      </c>
      <c r="F730" s="1" t="str">
        <f>"Рогатинська міська рада"</f>
        <v>Рогатинська міська рада</v>
      </c>
      <c r="G730" s="1" t="str">
        <f t="shared" si="104"/>
        <v>Фізична особа</v>
      </c>
      <c r="H730" s="1" t="s">
        <v>20</v>
      </c>
      <c r="I730" s="1" t="s">
        <v>20</v>
      </c>
      <c r="J730" s="1" t="str">
        <f t="shared" si="105"/>
        <v>Закрито</v>
      </c>
      <c r="K730" s="5">
        <v>45637</v>
      </c>
      <c r="L730" s="1" t="s">
        <v>20</v>
      </c>
      <c r="M730" s="1" t="s">
        <v>22</v>
      </c>
      <c r="N730" s="5">
        <v>45637</v>
      </c>
    </row>
    <row r="731" spans="1:14" x14ac:dyDescent="0.3">
      <c r="A731" s="1" t="str">
        <f>"1_5660/2129-11/2024/Н"</f>
        <v>1_5660/2129-11/2024/Н</v>
      </c>
      <c r="B731" s="6">
        <v>45602</v>
      </c>
      <c r="C731" s="1" t="str">
        <f>"00038"</f>
        <v>00038</v>
      </c>
      <c r="D73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31" s="1" t="s">
        <v>20</v>
      </c>
      <c r="F7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31" s="1" t="str">
        <f t="shared" si="104"/>
        <v>Фізична особа</v>
      </c>
      <c r="H731" s="1" t="s">
        <v>20</v>
      </c>
      <c r="I731" s="1" t="s">
        <v>20</v>
      </c>
      <c r="J731" s="1" t="str">
        <f t="shared" si="105"/>
        <v>Закрито</v>
      </c>
      <c r="K731" s="6">
        <v>45602</v>
      </c>
      <c r="L731" s="1" t="s">
        <v>20</v>
      </c>
      <c r="M731" s="1" t="s">
        <v>22</v>
      </c>
      <c r="N731" s="5">
        <v>45602</v>
      </c>
    </row>
    <row r="732" spans="1:14" x14ac:dyDescent="0.3">
      <c r="A732" s="1" t="str">
        <f>"1_5661/2129-11/2024/М"</f>
        <v>1_5661/2129-11/2024/М</v>
      </c>
      <c r="B732" s="6">
        <v>45602</v>
      </c>
      <c r="C732" s="1" t="str">
        <f>"00038"</f>
        <v>00038</v>
      </c>
      <c r="D73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32" s="1" t="s">
        <v>20</v>
      </c>
      <c r="F7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32" s="1" t="str">
        <f t="shared" si="104"/>
        <v>Фізична особа</v>
      </c>
      <c r="H732" s="1" t="s">
        <v>20</v>
      </c>
      <c r="I732" s="1" t="s">
        <v>20</v>
      </c>
      <c r="J732" s="1" t="str">
        <f t="shared" si="105"/>
        <v>Закрито</v>
      </c>
      <c r="K732" s="6">
        <v>45602</v>
      </c>
      <c r="L732" s="1" t="s">
        <v>20</v>
      </c>
      <c r="M732" s="1" t="s">
        <v>22</v>
      </c>
      <c r="N732" s="5">
        <v>45602</v>
      </c>
    </row>
    <row r="733" spans="1:14" x14ac:dyDescent="0.3">
      <c r="A733" s="1" t="str">
        <f>"8_521-11/2024/Г"</f>
        <v>8_521-11/2024/Г</v>
      </c>
      <c r="B733" s="6">
        <v>45602</v>
      </c>
      <c r="C733" s="1" t="str">
        <f>"00133"</f>
        <v>00133</v>
      </c>
      <c r="D733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733" s="1" t="str">
        <f>"03193413"</f>
        <v>03193413</v>
      </c>
      <c r="F73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733" s="1" t="str">
        <f t="shared" si="104"/>
        <v>Фізична особа</v>
      </c>
      <c r="H733" s="1" t="s">
        <v>20</v>
      </c>
      <c r="I733" s="1" t="s">
        <v>20</v>
      </c>
      <c r="J733" s="1" t="str">
        <f t="shared" si="105"/>
        <v>Закрито</v>
      </c>
      <c r="K733" s="5">
        <v>45603</v>
      </c>
      <c r="L733" s="1" t="s">
        <v>20</v>
      </c>
      <c r="M733" s="1" t="s">
        <v>22</v>
      </c>
      <c r="N733" s="5">
        <v>45603</v>
      </c>
    </row>
    <row r="734" spans="1:14" x14ac:dyDescent="0.3">
      <c r="A734" s="1" t="str">
        <f>"1_5662/2129-11/2024/Б"</f>
        <v>1_5662/2129-11/2024/Б</v>
      </c>
      <c r="B734" s="6">
        <v>45602</v>
      </c>
      <c r="C734" s="1" t="str">
        <f>"00038"</f>
        <v>00038</v>
      </c>
      <c r="D73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34" s="1" t="s">
        <v>20</v>
      </c>
      <c r="F734" s="1" t="str">
        <f t="shared" ref="F734:F747" si="106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34" s="1" t="str">
        <f t="shared" si="104"/>
        <v>Фізична особа</v>
      </c>
      <c r="H734" s="1" t="s">
        <v>20</v>
      </c>
      <c r="I734" s="1" t="s">
        <v>20</v>
      </c>
      <c r="J734" s="1" t="str">
        <f t="shared" si="105"/>
        <v>Закрито</v>
      </c>
      <c r="K734" s="6">
        <v>45602</v>
      </c>
      <c r="L734" s="1" t="s">
        <v>20</v>
      </c>
      <c r="M734" s="1" t="s">
        <v>22</v>
      </c>
      <c r="N734" s="5">
        <v>45602</v>
      </c>
    </row>
    <row r="735" spans="1:14" x14ac:dyDescent="0.3">
      <c r="A735" s="1" t="str">
        <f>"1_5663/2129-11/2024/М"</f>
        <v>1_5663/2129-11/2024/М</v>
      </c>
      <c r="B735" s="6">
        <v>45602</v>
      </c>
      <c r="C735" s="1" t="str">
        <f>"00038"</f>
        <v>00038</v>
      </c>
      <c r="D73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35" s="1" t="s">
        <v>20</v>
      </c>
      <c r="F735" s="1" t="str">
        <f t="shared" si="106"/>
        <v>Центр надання адміністративних послуг Рогатинської міської ради</v>
      </c>
      <c r="G735" s="1" t="str">
        <f t="shared" si="104"/>
        <v>Фізична особа</v>
      </c>
      <c r="H735" s="1" t="s">
        <v>20</v>
      </c>
      <c r="I735" s="1" t="s">
        <v>20</v>
      </c>
      <c r="J735" s="1" t="str">
        <f t="shared" si="105"/>
        <v>Закрито</v>
      </c>
      <c r="K735" s="6">
        <v>45602</v>
      </c>
      <c r="L735" s="1" t="s">
        <v>20</v>
      </c>
      <c r="M735" s="1" t="s">
        <v>22</v>
      </c>
      <c r="N735" s="5">
        <v>45602</v>
      </c>
    </row>
    <row r="736" spans="1:14" x14ac:dyDescent="0.3">
      <c r="A736" s="1" t="str">
        <f>"1_5664/2129-11/2024/В"</f>
        <v>1_5664/2129-11/2024/В</v>
      </c>
      <c r="B736" s="6">
        <v>45602</v>
      </c>
      <c r="C736" s="1" t="str">
        <f>"00038"</f>
        <v>00038</v>
      </c>
      <c r="D73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36" s="1" t="s">
        <v>20</v>
      </c>
      <c r="F736" s="1" t="str">
        <f t="shared" si="106"/>
        <v>Центр надання адміністративних послуг Рогатинської міської ради</v>
      </c>
      <c r="G736" s="1" t="str">
        <f t="shared" si="104"/>
        <v>Фізична особа</v>
      </c>
      <c r="H736" s="1" t="s">
        <v>20</v>
      </c>
      <c r="I736" s="1" t="s">
        <v>20</v>
      </c>
      <c r="J736" s="1" t="str">
        <f t="shared" si="105"/>
        <v>Закрито</v>
      </c>
      <c r="K736" s="6">
        <v>45602</v>
      </c>
      <c r="L736" s="1" t="s">
        <v>20</v>
      </c>
      <c r="M736" s="1" t="s">
        <v>22</v>
      </c>
      <c r="N736" s="5">
        <v>45602</v>
      </c>
    </row>
    <row r="737" spans="1:14" x14ac:dyDescent="0.3">
      <c r="A737" s="1" t="str">
        <f>"1_682-11/2024/В"</f>
        <v>1_682-11/2024/В</v>
      </c>
      <c r="B737" s="6">
        <v>45602</v>
      </c>
      <c r="C737" s="1" t="str">
        <f>"01297"</f>
        <v>01297</v>
      </c>
      <c r="D737" s="2" t="str">
        <f>"Видача довідок-характеристик на громадян"</f>
        <v>Видача довідок-характеристик на громадян</v>
      </c>
      <c r="E737" s="1" t="s">
        <v>20</v>
      </c>
      <c r="F737" s="1" t="str">
        <f t="shared" si="106"/>
        <v>Центр надання адміністративних послуг Рогатинської міської ради</v>
      </c>
      <c r="G737" s="1" t="str">
        <f>"Юридична особа"</f>
        <v>Юридична особа</v>
      </c>
      <c r="H737" s="1" t="str">
        <f>"Відділення поліції №4 (м.Рогатин)"</f>
        <v>Відділення поліції №4 (м.Рогатин)</v>
      </c>
      <c r="I737" s="1" t="s">
        <v>20</v>
      </c>
      <c r="J737" s="1" t="str">
        <f t="shared" si="105"/>
        <v>Закрито</v>
      </c>
      <c r="K737" s="5">
        <v>45602</v>
      </c>
      <c r="L737" s="1" t="s">
        <v>20</v>
      </c>
      <c r="M737" s="1" t="s">
        <v>22</v>
      </c>
      <c r="N737" s="5">
        <v>45602</v>
      </c>
    </row>
    <row r="738" spans="1:14" x14ac:dyDescent="0.3">
      <c r="A738" s="1" t="str">
        <f>"1_683-11/2024/В"</f>
        <v>1_683-11/2024/В</v>
      </c>
      <c r="B738" s="6">
        <v>45602</v>
      </c>
      <c r="C738" s="1" t="str">
        <f>"01297"</f>
        <v>01297</v>
      </c>
      <c r="D738" s="2" t="str">
        <f>"Видача довідок-характеристик на громадян"</f>
        <v>Видача довідок-характеристик на громадян</v>
      </c>
      <c r="E738" s="1" t="s">
        <v>20</v>
      </c>
      <c r="F738" s="1" t="str">
        <f t="shared" si="106"/>
        <v>Центр надання адміністративних послуг Рогатинської міської ради</v>
      </c>
      <c r="G738" s="1" t="str">
        <f>"Юридична особа"</f>
        <v>Юридична особа</v>
      </c>
      <c r="H738" s="1" t="str">
        <f>"Відділення поліції №4 (м.Рогатин)"</f>
        <v>Відділення поліції №4 (м.Рогатин)</v>
      </c>
      <c r="I738" s="1" t="s">
        <v>20</v>
      </c>
      <c r="J738" s="1" t="str">
        <f t="shared" si="105"/>
        <v>Закрито</v>
      </c>
      <c r="K738" s="5">
        <v>45602</v>
      </c>
      <c r="L738" s="1" t="s">
        <v>20</v>
      </c>
      <c r="M738" s="1" t="s">
        <v>22</v>
      </c>
      <c r="N738" s="5">
        <v>45602</v>
      </c>
    </row>
    <row r="739" spans="1:14" x14ac:dyDescent="0.3">
      <c r="A739" s="1" t="str">
        <f>"9_550-11/2024/М"</f>
        <v>9_550-11/2024/М</v>
      </c>
      <c r="B739" s="6">
        <v>45602</v>
      </c>
      <c r="C739" s="1" t="str">
        <f>"00038"</f>
        <v>00038</v>
      </c>
      <c r="D73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39" s="1" t="s">
        <v>20</v>
      </c>
      <c r="F739" s="1" t="str">
        <f t="shared" si="106"/>
        <v>Центр надання адміністративних послуг Рогатинської міської ради</v>
      </c>
      <c r="G739" s="1" t="str">
        <f>"Фізична особа"</f>
        <v>Фізична особа</v>
      </c>
      <c r="H739" s="1" t="s">
        <v>20</v>
      </c>
      <c r="I739" s="1" t="s">
        <v>20</v>
      </c>
      <c r="J739" s="1" t="str">
        <f t="shared" si="105"/>
        <v>Закрито</v>
      </c>
      <c r="K739" s="5">
        <v>45602</v>
      </c>
      <c r="L739" s="1" t="s">
        <v>20</v>
      </c>
      <c r="M739" s="1" t="s">
        <v>22</v>
      </c>
      <c r="N739" s="5">
        <v>45602</v>
      </c>
    </row>
    <row r="740" spans="1:14" x14ac:dyDescent="0.3">
      <c r="A740" s="1" t="str">
        <f>"3_828-11/2024/М"</f>
        <v>3_828-11/2024/М</v>
      </c>
      <c r="B740" s="6">
        <v>45602</v>
      </c>
      <c r="C740" s="1" t="str">
        <f>"00038"</f>
        <v>00038</v>
      </c>
      <c r="D74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40" s="1" t="s">
        <v>20</v>
      </c>
      <c r="F740" s="1" t="str">
        <f t="shared" si="106"/>
        <v>Центр надання адміністративних послуг Рогатинської міської ради</v>
      </c>
      <c r="G740" s="1" t="str">
        <f>"Фізична особа"</f>
        <v>Фізична особа</v>
      </c>
      <c r="H740" s="1" t="s">
        <v>20</v>
      </c>
      <c r="I740" s="1" t="s">
        <v>20</v>
      </c>
      <c r="J740" s="1" t="str">
        <f t="shared" si="105"/>
        <v>Закрито</v>
      </c>
      <c r="K740" s="5">
        <v>45602</v>
      </c>
      <c r="L740" s="1" t="s">
        <v>20</v>
      </c>
      <c r="M740" s="1" t="s">
        <v>22</v>
      </c>
      <c r="N740" s="5">
        <v>45602</v>
      </c>
    </row>
    <row r="741" spans="1:14" x14ac:dyDescent="0.3">
      <c r="A741" s="1" t="str">
        <f>"1_684-11/2024/В"</f>
        <v>1_684-11/2024/В</v>
      </c>
      <c r="B741" s="6">
        <v>45602</v>
      </c>
      <c r="C741" s="1" t="str">
        <f>"01297"</f>
        <v>01297</v>
      </c>
      <c r="D741" s="2" t="str">
        <f>"Видача довідок-характеристик на громадян"</f>
        <v>Видача довідок-характеристик на громадян</v>
      </c>
      <c r="E741" s="1" t="s">
        <v>20</v>
      </c>
      <c r="F741" s="1" t="str">
        <f t="shared" si="106"/>
        <v>Центр надання адміністративних послуг Рогатинської міської ради</v>
      </c>
      <c r="G741" s="1" t="str">
        <f>"Юридична особа"</f>
        <v>Юридична особа</v>
      </c>
      <c r="H741" s="1" t="str">
        <f>"Відділення поліції №4 (м.Рогатин)"</f>
        <v>Відділення поліції №4 (м.Рогатин)</v>
      </c>
      <c r="I741" s="1" t="s">
        <v>20</v>
      </c>
      <c r="J741" s="1" t="str">
        <f t="shared" si="105"/>
        <v>Закрито</v>
      </c>
      <c r="K741" s="5">
        <v>45602</v>
      </c>
      <c r="L741" s="1" t="s">
        <v>20</v>
      </c>
      <c r="M741" s="1" t="s">
        <v>22</v>
      </c>
      <c r="N741" s="5">
        <v>45602</v>
      </c>
    </row>
    <row r="742" spans="1:14" x14ac:dyDescent="0.3">
      <c r="A742" s="1" t="str">
        <f>"3_829-11/2024/К"</f>
        <v>3_829-11/2024/К</v>
      </c>
      <c r="B742" s="6">
        <v>45602</v>
      </c>
      <c r="C742" s="1" t="str">
        <f>"00038"</f>
        <v>00038</v>
      </c>
      <c r="D74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42" s="1" t="s">
        <v>20</v>
      </c>
      <c r="F742" s="1" t="str">
        <f t="shared" si="106"/>
        <v>Центр надання адміністративних послуг Рогатинської міської ради</v>
      </c>
      <c r="G742" s="1" t="str">
        <f>"Фізична особа"</f>
        <v>Фізична особа</v>
      </c>
      <c r="H742" s="1" t="s">
        <v>20</v>
      </c>
      <c r="I742" s="1" t="s">
        <v>20</v>
      </c>
      <c r="J742" s="1" t="str">
        <f t="shared" si="105"/>
        <v>Закрито</v>
      </c>
      <c r="K742" s="5">
        <v>45602</v>
      </c>
      <c r="L742" s="1" t="s">
        <v>20</v>
      </c>
      <c r="M742" s="1" t="s">
        <v>22</v>
      </c>
      <c r="N742" s="5">
        <v>45602</v>
      </c>
    </row>
    <row r="743" spans="1:14" x14ac:dyDescent="0.3">
      <c r="A743" s="1" t="str">
        <f>"1_685-11/2024/В"</f>
        <v>1_685-11/2024/В</v>
      </c>
      <c r="B743" s="6">
        <v>45602</v>
      </c>
      <c r="C743" s="1" t="str">
        <f>"01297"</f>
        <v>01297</v>
      </c>
      <c r="D743" s="2" t="str">
        <f>"Видача довідок-характеристик на громадян"</f>
        <v>Видача довідок-характеристик на громадян</v>
      </c>
      <c r="E743" s="1" t="s">
        <v>20</v>
      </c>
      <c r="F743" s="1" t="str">
        <f t="shared" si="106"/>
        <v>Центр надання адміністративних послуг Рогатинської міської ради</v>
      </c>
      <c r="G743" s="1" t="str">
        <f>"Юридична особа"</f>
        <v>Юридична особа</v>
      </c>
      <c r="H743" s="1" t="str">
        <f>"Відділення поліції №4 (м.Рогатин)"</f>
        <v>Відділення поліції №4 (м.Рогатин)</v>
      </c>
      <c r="I743" s="1" t="s">
        <v>20</v>
      </c>
      <c r="J743" s="1" t="str">
        <f t="shared" si="105"/>
        <v>Закрито</v>
      </c>
      <c r="K743" s="5">
        <v>45602</v>
      </c>
      <c r="L743" s="1" t="s">
        <v>20</v>
      </c>
      <c r="M743" s="1" t="s">
        <v>22</v>
      </c>
      <c r="N743" s="5">
        <v>45602</v>
      </c>
    </row>
    <row r="744" spans="1:14" x14ac:dyDescent="0.3">
      <c r="A744" s="1" t="str">
        <f>"2_1919/2129-11/2024/п"</f>
        <v>2_1919/2129-11/2024/п</v>
      </c>
      <c r="B744" s="6">
        <v>45602</v>
      </c>
      <c r="C744" s="1" t="str">
        <f>"00042"</f>
        <v>00042</v>
      </c>
      <c r="D744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744" s="1" t="s">
        <v>20</v>
      </c>
      <c r="F744" s="1" t="str">
        <f t="shared" si="106"/>
        <v>Центр надання адміністративних послуг Рогатинської міської ради</v>
      </c>
      <c r="G744" s="1" t="str">
        <f>"Юридична особа"</f>
        <v>Юридична особа</v>
      </c>
      <c r="H744" s="1" t="str">
        <f>"приватне акціонерне товариство ""Національна енергетична компанія ""Укренерго"""</f>
        <v>приватне акціонерне товариство "Національна енергетична компанія "Укренерго"</v>
      </c>
      <c r="I744" s="1" t="str">
        <f>"00100227"</f>
        <v>00100227</v>
      </c>
      <c r="J744" s="1" t="str">
        <f t="shared" si="105"/>
        <v>Закрито</v>
      </c>
      <c r="K744" s="5">
        <v>45602</v>
      </c>
      <c r="L744" s="1" t="s">
        <v>20</v>
      </c>
      <c r="M744" s="1" t="s">
        <v>22</v>
      </c>
      <c r="N744" s="5">
        <v>45602</v>
      </c>
    </row>
    <row r="745" spans="1:14" x14ac:dyDescent="0.3">
      <c r="A745" s="1" t="str">
        <f>"2_1920/2129-11/2024/п"</f>
        <v>2_1920/2129-11/2024/п</v>
      </c>
      <c r="B745" s="6">
        <v>45602</v>
      </c>
      <c r="C745" s="1" t="str">
        <f>"00042"</f>
        <v>00042</v>
      </c>
      <c r="D745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745" s="1" t="s">
        <v>20</v>
      </c>
      <c r="F745" s="1" t="str">
        <f t="shared" si="106"/>
        <v>Центр надання адміністративних послуг Рогатинської міської ради</v>
      </c>
      <c r="G745" s="1" t="str">
        <f>"Юридична особа"</f>
        <v>Юридична особа</v>
      </c>
      <c r="H745" s="1" t="str">
        <f>"приватне акціонерне товариство ""Національна енергетична компанія ""Укренерго"""</f>
        <v>приватне акціонерне товариство "Національна енергетична компанія "Укренерго"</v>
      </c>
      <c r="I745" s="1" t="str">
        <f>"00100227"</f>
        <v>00100227</v>
      </c>
      <c r="J745" s="1" t="str">
        <f t="shared" si="105"/>
        <v>Закрито</v>
      </c>
      <c r="K745" s="5">
        <v>45602</v>
      </c>
      <c r="L745" s="1" t="s">
        <v>20</v>
      </c>
      <c r="M745" s="1" t="s">
        <v>22</v>
      </c>
      <c r="N745" s="5">
        <v>45602</v>
      </c>
    </row>
    <row r="746" spans="1:14" x14ac:dyDescent="0.3">
      <c r="A746" s="1" t="str">
        <f>"2_1921/2129-11/2024/А"</f>
        <v>2_1921/2129-11/2024/А</v>
      </c>
      <c r="B746" s="6">
        <v>45602</v>
      </c>
      <c r="C746" s="1" t="str">
        <f>"00042"</f>
        <v>00042</v>
      </c>
      <c r="D746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746" s="1" t="s">
        <v>20</v>
      </c>
      <c r="F746" s="1" t="str">
        <f t="shared" si="106"/>
        <v>Центр надання адміністративних послуг Рогатинської міської ради</v>
      </c>
      <c r="G746" s="1" t="str">
        <f>"Фізична особа"</f>
        <v>Фізична особа</v>
      </c>
      <c r="H746" s="1" t="s">
        <v>20</v>
      </c>
      <c r="I746" s="1" t="s">
        <v>20</v>
      </c>
      <c r="J746" s="1" t="str">
        <f t="shared" si="105"/>
        <v>Закрито</v>
      </c>
      <c r="K746" s="5">
        <v>45602</v>
      </c>
      <c r="L746" s="1" t="s">
        <v>20</v>
      </c>
      <c r="M746" s="1" t="s">
        <v>22</v>
      </c>
      <c r="N746" s="5">
        <v>45602</v>
      </c>
    </row>
    <row r="747" spans="1:14" x14ac:dyDescent="0.3">
      <c r="A747" s="1" t="str">
        <f>"2_1922/2129-11/2024/А"</f>
        <v>2_1922/2129-11/2024/А</v>
      </c>
      <c r="B747" s="6">
        <v>45602</v>
      </c>
      <c r="C747" s="1" t="str">
        <f>"00042"</f>
        <v>00042</v>
      </c>
      <c r="D747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747" s="1" t="s">
        <v>20</v>
      </c>
      <c r="F747" s="1" t="str">
        <f t="shared" si="106"/>
        <v>Центр надання адміністративних послуг Рогатинської міської ради</v>
      </c>
      <c r="G747" s="1" t="str">
        <f>"Фізична особа"</f>
        <v>Фізична особа</v>
      </c>
      <c r="H747" s="1" t="s">
        <v>20</v>
      </c>
      <c r="I747" s="1" t="s">
        <v>20</v>
      </c>
      <c r="J747" s="1" t="str">
        <f t="shared" si="105"/>
        <v>Закрито</v>
      </c>
      <c r="K747" s="5">
        <v>45602</v>
      </c>
      <c r="L747" s="1" t="s">
        <v>20</v>
      </c>
      <c r="M747" s="1" t="s">
        <v>22</v>
      </c>
      <c r="N747" s="5">
        <v>45602</v>
      </c>
    </row>
    <row r="748" spans="1:14" x14ac:dyDescent="0.3">
      <c r="A748" s="1" t="str">
        <f>"2_1923/04054323-11/2024/Ш"</f>
        <v>2_1923/04054323-11/2024/Ш</v>
      </c>
      <c r="B748" s="6">
        <v>45602</v>
      </c>
      <c r="C748" s="1" t="str">
        <f>"00153"</f>
        <v>00153</v>
      </c>
      <c r="D748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748" s="1" t="str">
        <f>"04054323"</f>
        <v>04054323</v>
      </c>
      <c r="F748" s="1" t="str">
        <f>"Рогатинська міська рада"</f>
        <v>Рогатинська міська рада</v>
      </c>
      <c r="G748" s="1" t="str">
        <f>"Фізична особа"</f>
        <v>Фізична особа</v>
      </c>
      <c r="H748" s="1" t="s">
        <v>20</v>
      </c>
      <c r="I748" s="1" t="s">
        <v>20</v>
      </c>
      <c r="J748" s="1" t="str">
        <f t="shared" si="105"/>
        <v>Закрито</v>
      </c>
      <c r="K748" s="5">
        <v>45628</v>
      </c>
      <c r="L748" s="1" t="s">
        <v>20</v>
      </c>
      <c r="M748" s="1" t="s">
        <v>22</v>
      </c>
      <c r="N748" s="5">
        <v>45628</v>
      </c>
    </row>
    <row r="749" spans="1:14" x14ac:dyDescent="0.3">
      <c r="A749" s="1" t="str">
        <f>"2_1924/2129-11/2024/А"</f>
        <v>2_1924/2129-11/2024/А</v>
      </c>
      <c r="B749" s="6">
        <v>45602</v>
      </c>
      <c r="C749" s="1" t="str">
        <f>"00042"</f>
        <v>00042</v>
      </c>
      <c r="D749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749" s="1" t="s">
        <v>20</v>
      </c>
      <c r="F749" s="1" t="str">
        <f t="shared" ref="F749:F754" si="107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49" s="1" t="str">
        <f>"Фізична особа"</f>
        <v>Фізична особа</v>
      </c>
      <c r="H749" s="1" t="s">
        <v>20</v>
      </c>
      <c r="I749" s="1" t="s">
        <v>20</v>
      </c>
      <c r="J749" s="1" t="str">
        <f t="shared" si="105"/>
        <v>Закрито</v>
      </c>
      <c r="K749" s="5">
        <v>45602</v>
      </c>
      <c r="L749" s="1" t="s">
        <v>20</v>
      </c>
      <c r="M749" s="1" t="s">
        <v>22</v>
      </c>
      <c r="N749" s="5">
        <v>45602</v>
      </c>
    </row>
    <row r="750" spans="1:14" x14ac:dyDescent="0.3">
      <c r="A750" s="1" t="str">
        <f>"2_1925/2129-11/2024/п"</f>
        <v>2_1925/2129-11/2024/п</v>
      </c>
      <c r="B750" s="6">
        <v>45602</v>
      </c>
      <c r="C750" s="1" t="str">
        <f>"00042"</f>
        <v>00042</v>
      </c>
      <c r="D750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750" s="1" t="s">
        <v>20</v>
      </c>
      <c r="F750" s="1" t="str">
        <f t="shared" si="107"/>
        <v>Центр надання адміністративних послуг Рогатинської міської ради</v>
      </c>
      <c r="G750" s="1" t="str">
        <f>"Юридична особа"</f>
        <v>Юридична особа</v>
      </c>
      <c r="H750" s="1" t="str">
        <f>"приватне акціонерне товариство "" ВФ Україна"""</f>
        <v>приватне акціонерне товариство " ВФ Україна"</v>
      </c>
      <c r="I750" s="1" t="str">
        <f>"14333937"</f>
        <v>14333937</v>
      </c>
      <c r="J750" s="1" t="str">
        <f t="shared" si="105"/>
        <v>Закрито</v>
      </c>
      <c r="K750" s="5">
        <v>45602</v>
      </c>
      <c r="L750" s="1" t="s">
        <v>20</v>
      </c>
      <c r="M750" s="1" t="s">
        <v>22</v>
      </c>
      <c r="N750" s="5">
        <v>45602</v>
      </c>
    </row>
    <row r="751" spans="1:14" x14ac:dyDescent="0.3">
      <c r="A751" s="1" t="str">
        <f>"35_500-11/2024/Р"</f>
        <v>35_500-11/2024/Р</v>
      </c>
      <c r="B751" s="6">
        <v>45602</v>
      </c>
      <c r="C751" s="1" t="str">
        <f>"00038"</f>
        <v>00038</v>
      </c>
      <c r="D75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51" s="1" t="s">
        <v>20</v>
      </c>
      <c r="F751" s="1" t="str">
        <f t="shared" si="107"/>
        <v>Центр надання адміністративних послуг Рогатинської міської ради</v>
      </c>
      <c r="G751" s="1" t="str">
        <f t="shared" ref="G751:G789" si="108">"Фізична особа"</f>
        <v>Фізична особа</v>
      </c>
      <c r="H751" s="1" t="s">
        <v>20</v>
      </c>
      <c r="I751" s="1" t="s">
        <v>20</v>
      </c>
      <c r="J751" s="1" t="str">
        <f t="shared" si="105"/>
        <v>Закрито</v>
      </c>
      <c r="K751" s="5">
        <v>45602</v>
      </c>
      <c r="L751" s="1" t="s">
        <v>20</v>
      </c>
      <c r="M751" s="1" t="s">
        <v>22</v>
      </c>
      <c r="N751" s="5">
        <v>45602</v>
      </c>
    </row>
    <row r="752" spans="1:14" x14ac:dyDescent="0.3">
      <c r="A752" s="1" t="str">
        <f>"2_1926/2129-11/2024/Ф"</f>
        <v>2_1926/2129-11/2024/Ф</v>
      </c>
      <c r="B752" s="6">
        <v>45602</v>
      </c>
      <c r="C752" s="1" t="str">
        <f>"00047"</f>
        <v>00047</v>
      </c>
      <c r="D752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752" s="1" t="s">
        <v>20</v>
      </c>
      <c r="F752" s="1" t="str">
        <f t="shared" si="107"/>
        <v>Центр надання адміністративних послуг Рогатинської міської ради</v>
      </c>
      <c r="G752" s="1" t="str">
        <f t="shared" si="108"/>
        <v>Фізична особа</v>
      </c>
      <c r="H752" s="1" t="s">
        <v>20</v>
      </c>
      <c r="I752" s="1" t="s">
        <v>20</v>
      </c>
      <c r="J752" s="1" t="str">
        <f t="shared" si="105"/>
        <v>Закрито</v>
      </c>
      <c r="K752" s="5">
        <v>45602</v>
      </c>
      <c r="L752" s="1" t="s">
        <v>20</v>
      </c>
      <c r="M752" s="1" t="s">
        <v>22</v>
      </c>
      <c r="N752" s="5">
        <v>45602</v>
      </c>
    </row>
    <row r="753" spans="1:14" x14ac:dyDescent="0.3">
      <c r="A753" s="1" t="str">
        <f>"21_637-11/2024/С"</f>
        <v>21_637-11/2024/С</v>
      </c>
      <c r="B753" s="6">
        <v>45602</v>
      </c>
      <c r="C753" s="1" t="str">
        <f>"00038"</f>
        <v>00038</v>
      </c>
      <c r="D75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53" s="1" t="s">
        <v>20</v>
      </c>
      <c r="F753" s="1" t="str">
        <f t="shared" si="107"/>
        <v>Центр надання адміністративних послуг Рогатинської міської ради</v>
      </c>
      <c r="G753" s="1" t="str">
        <f t="shared" si="108"/>
        <v>Фізична особа</v>
      </c>
      <c r="H753" s="1" t="s">
        <v>20</v>
      </c>
      <c r="I753" s="1" t="s">
        <v>20</v>
      </c>
      <c r="J753" s="1" t="str">
        <f t="shared" si="105"/>
        <v>Закрито</v>
      </c>
      <c r="K753" s="5">
        <v>45602</v>
      </c>
      <c r="L753" s="1" t="s">
        <v>20</v>
      </c>
      <c r="M753" s="1" t="s">
        <v>22</v>
      </c>
      <c r="N753" s="5">
        <v>45602</v>
      </c>
    </row>
    <row r="754" spans="1:14" x14ac:dyDescent="0.3">
      <c r="A754" s="1" t="str">
        <f>"21_638-11/2024/Ш"</f>
        <v>21_638-11/2024/Ш</v>
      </c>
      <c r="B754" s="6">
        <v>45602</v>
      </c>
      <c r="C754" s="1" t="str">
        <f>"33"</f>
        <v>33</v>
      </c>
      <c r="D754" s="2" t="str">
        <f>"33 Довідки різного характеру"</f>
        <v>33 Довідки різного характеру</v>
      </c>
      <c r="E754" s="1" t="s">
        <v>20</v>
      </c>
      <c r="F754" s="1" t="str">
        <f t="shared" si="107"/>
        <v>Центр надання адміністративних послуг Рогатинської міської ради</v>
      </c>
      <c r="G754" s="1" t="str">
        <f t="shared" si="108"/>
        <v>Фізична особа</v>
      </c>
      <c r="H754" s="1" t="s">
        <v>20</v>
      </c>
      <c r="I754" s="1" t="s">
        <v>20</v>
      </c>
      <c r="J754" s="1" t="str">
        <f t="shared" si="105"/>
        <v>Закрито</v>
      </c>
      <c r="K754" s="5">
        <v>45602</v>
      </c>
      <c r="L754" s="1" t="s">
        <v>20</v>
      </c>
      <c r="M754" s="1" t="s">
        <v>22</v>
      </c>
      <c r="N754" s="5">
        <v>45602</v>
      </c>
    </row>
    <row r="755" spans="1:14" x14ac:dyDescent="0.3">
      <c r="A755" s="1" t="str">
        <f>"4_1239/03193413-11/2024/Г"</f>
        <v>4_1239/03193413-11/2024/Г</v>
      </c>
      <c r="B755" s="6">
        <v>45602</v>
      </c>
      <c r="C755" s="1" t="str">
        <f>"00103"</f>
        <v>00103</v>
      </c>
      <c r="D755" s="2" t="s">
        <v>1</v>
      </c>
      <c r="E755" s="1" t="str">
        <f>"03193413"</f>
        <v>03193413</v>
      </c>
      <c r="F75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755" s="1" t="str">
        <f t="shared" si="108"/>
        <v>Фізична особа</v>
      </c>
      <c r="H755" s="1" t="s">
        <v>20</v>
      </c>
      <c r="I755" s="1" t="s">
        <v>20</v>
      </c>
      <c r="J755" s="1" t="str">
        <f t="shared" si="105"/>
        <v>Закрито</v>
      </c>
      <c r="K755" s="5">
        <v>45608</v>
      </c>
      <c r="L755" s="1" t="s">
        <v>20</v>
      </c>
      <c r="M755" s="1" t="s">
        <v>22</v>
      </c>
      <c r="N755" s="5">
        <v>45608</v>
      </c>
    </row>
    <row r="756" spans="1:14" x14ac:dyDescent="0.3">
      <c r="A756" s="1" t="str">
        <f>"5_474-11/2024/ф"</f>
        <v>5_474-11/2024/ф</v>
      </c>
      <c r="B756" s="6">
        <v>45602</v>
      </c>
      <c r="C756" s="1" t="str">
        <f>"00038"</f>
        <v>00038</v>
      </c>
      <c r="D75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56" s="1" t="s">
        <v>20</v>
      </c>
      <c r="F75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56" s="1" t="str">
        <f t="shared" si="108"/>
        <v>Фізична особа</v>
      </c>
      <c r="H756" s="1" t="s">
        <v>20</v>
      </c>
      <c r="I756" s="1" t="s">
        <v>20</v>
      </c>
      <c r="J756" s="1" t="str">
        <f t="shared" si="105"/>
        <v>Закрито</v>
      </c>
      <c r="K756" s="5">
        <v>45602</v>
      </c>
      <c r="L756" s="1" t="s">
        <v>20</v>
      </c>
      <c r="M756" s="1" t="s">
        <v>22</v>
      </c>
      <c r="N756" s="5">
        <v>45602</v>
      </c>
    </row>
    <row r="757" spans="1:14" x14ac:dyDescent="0.3">
      <c r="A757" s="1" t="str">
        <f>"1_5665/2129-11/2024/В"</f>
        <v>1_5665/2129-11/2024/В</v>
      </c>
      <c r="B757" s="6">
        <v>45602</v>
      </c>
      <c r="C757" s="1" t="str">
        <f>"00038"</f>
        <v>00038</v>
      </c>
      <c r="D75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57" s="1" t="s">
        <v>20</v>
      </c>
      <c r="F7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57" s="1" t="str">
        <f t="shared" si="108"/>
        <v>Фізична особа</v>
      </c>
      <c r="H757" s="1" t="s">
        <v>20</v>
      </c>
      <c r="I757" s="1" t="s">
        <v>20</v>
      </c>
      <c r="J757" s="1" t="str">
        <f t="shared" si="105"/>
        <v>Закрито</v>
      </c>
      <c r="K757" s="6">
        <v>45602</v>
      </c>
      <c r="L757" s="1" t="s">
        <v>20</v>
      </c>
      <c r="M757" s="1" t="s">
        <v>22</v>
      </c>
      <c r="N757" s="5">
        <v>45602</v>
      </c>
    </row>
    <row r="758" spans="1:14" x14ac:dyDescent="0.3">
      <c r="A758" s="1" t="str">
        <f>"6_313/04054323-11/2024/З"</f>
        <v>6_313/04054323-11/2024/З</v>
      </c>
      <c r="B758" s="6">
        <v>45602</v>
      </c>
      <c r="C758" s="1" t="str">
        <f>""</f>
        <v/>
      </c>
      <c r="D758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758" s="1" t="str">
        <f>"04054323"</f>
        <v>04054323</v>
      </c>
      <c r="F758" s="1" t="str">
        <f>"Рогатинська міська рада"</f>
        <v>Рогатинська міська рада</v>
      </c>
      <c r="G758" s="1" t="str">
        <f t="shared" si="108"/>
        <v>Фізична особа</v>
      </c>
      <c r="H758" s="1" t="s">
        <v>20</v>
      </c>
      <c r="I758" s="1" t="s">
        <v>20</v>
      </c>
      <c r="J758" s="1" t="str">
        <f t="shared" si="105"/>
        <v>Закрито</v>
      </c>
      <c r="K758" s="5">
        <v>45604</v>
      </c>
      <c r="L758" s="1" t="s">
        <v>20</v>
      </c>
      <c r="M758" s="1" t="s">
        <v>22</v>
      </c>
      <c r="N758" s="5">
        <v>45604</v>
      </c>
    </row>
    <row r="759" spans="1:14" x14ac:dyDescent="0.3">
      <c r="A759" s="1" t="str">
        <f>"15_329-11/2024/С"</f>
        <v>15_329-11/2024/С</v>
      </c>
      <c r="B759" s="6">
        <v>45602</v>
      </c>
      <c r="C759" s="1" t="str">
        <f>"33"</f>
        <v>33</v>
      </c>
      <c r="D759" s="2" t="str">
        <f>"33 Довідки різного характеру"</f>
        <v>33 Довідки різного характеру</v>
      </c>
      <c r="E759" s="1" t="s">
        <v>20</v>
      </c>
      <c r="F7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59" s="1" t="str">
        <f t="shared" si="108"/>
        <v>Фізична особа</v>
      </c>
      <c r="H759" s="1" t="s">
        <v>20</v>
      </c>
      <c r="I759" s="1" t="s">
        <v>20</v>
      </c>
      <c r="J759" s="1" t="str">
        <f t="shared" ref="J759:J771" si="109">"Закрито"</f>
        <v>Закрито</v>
      </c>
      <c r="K759" s="5">
        <v>45602</v>
      </c>
      <c r="L759" s="1" t="s">
        <v>20</v>
      </c>
      <c r="M759" s="1" t="s">
        <v>22</v>
      </c>
      <c r="N759" s="5">
        <v>45602</v>
      </c>
    </row>
    <row r="760" spans="1:14" x14ac:dyDescent="0.3">
      <c r="A760" s="1" t="str">
        <f>"1_5666/2129-11/2024/І"</f>
        <v>1_5666/2129-11/2024/І</v>
      </c>
      <c r="B760" s="6">
        <v>45602</v>
      </c>
      <c r="C760" s="1" t="str">
        <f>"00038"</f>
        <v>00038</v>
      </c>
      <c r="D76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60" s="1" t="s">
        <v>20</v>
      </c>
      <c r="F7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60" s="1" t="str">
        <f t="shared" si="108"/>
        <v>Фізична особа</v>
      </c>
      <c r="H760" s="1" t="s">
        <v>20</v>
      </c>
      <c r="I760" s="1" t="s">
        <v>20</v>
      </c>
      <c r="J760" s="1" t="str">
        <f t="shared" si="109"/>
        <v>Закрито</v>
      </c>
      <c r="K760" s="6">
        <v>45602</v>
      </c>
      <c r="L760" s="1" t="s">
        <v>20</v>
      </c>
      <c r="M760" s="1" t="s">
        <v>22</v>
      </c>
      <c r="N760" s="5">
        <v>45602</v>
      </c>
    </row>
    <row r="761" spans="1:14" x14ac:dyDescent="0.3">
      <c r="A761" s="1" t="str">
        <f>"1_5667/2129-11/2024/Л"</f>
        <v>1_5667/2129-11/2024/Л</v>
      </c>
      <c r="B761" s="6">
        <v>45602</v>
      </c>
      <c r="C761" s="1" t="str">
        <f>"00038"</f>
        <v>00038</v>
      </c>
      <c r="D76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61" s="1" t="s">
        <v>20</v>
      </c>
      <c r="F76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61" s="1" t="str">
        <f t="shared" si="108"/>
        <v>Фізична особа</v>
      </c>
      <c r="H761" s="1" t="s">
        <v>20</v>
      </c>
      <c r="I761" s="1" t="s">
        <v>20</v>
      </c>
      <c r="J761" s="1" t="str">
        <f t="shared" si="109"/>
        <v>Закрито</v>
      </c>
      <c r="K761" s="6">
        <v>45602</v>
      </c>
      <c r="L761" s="1" t="s">
        <v>20</v>
      </c>
      <c r="M761" s="1" t="s">
        <v>22</v>
      </c>
      <c r="N761" s="5">
        <v>45602</v>
      </c>
    </row>
    <row r="762" spans="1:14" x14ac:dyDescent="0.3">
      <c r="A762" s="1" t="str">
        <f>"21_639-11/2024/С"</f>
        <v>21_639-11/2024/С</v>
      </c>
      <c r="B762" s="6">
        <v>45602</v>
      </c>
      <c r="C762" s="1" t="str">
        <f>"00155"</f>
        <v>00155</v>
      </c>
      <c r="D762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762" s="1" t="str">
        <f>"03193413"</f>
        <v>03193413</v>
      </c>
      <c r="F76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762" s="1" t="str">
        <f t="shared" si="108"/>
        <v>Фізична особа</v>
      </c>
      <c r="H762" s="1" t="s">
        <v>20</v>
      </c>
      <c r="I762" s="1" t="s">
        <v>20</v>
      </c>
      <c r="J762" s="1" t="str">
        <f t="shared" si="109"/>
        <v>Закрито</v>
      </c>
      <c r="K762" s="5">
        <v>45609</v>
      </c>
      <c r="L762" s="1" t="s">
        <v>20</v>
      </c>
      <c r="M762" s="1" t="s">
        <v>22</v>
      </c>
      <c r="N762" s="5">
        <v>45609</v>
      </c>
    </row>
    <row r="763" spans="1:14" x14ac:dyDescent="0.3">
      <c r="A763" s="1" t="str">
        <f>"6_314/04054323-11/2024/В"</f>
        <v>6_314/04054323-11/2024/В</v>
      </c>
      <c r="B763" s="6">
        <v>45602</v>
      </c>
      <c r="C763" s="1" t="str">
        <f>""</f>
        <v/>
      </c>
      <c r="D763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763" s="1" t="str">
        <f>"04054323"</f>
        <v>04054323</v>
      </c>
      <c r="F763" s="1" t="str">
        <f>"Рогатинська міська рада"</f>
        <v>Рогатинська міська рада</v>
      </c>
      <c r="G763" s="1" t="str">
        <f t="shared" si="108"/>
        <v>Фізична особа</v>
      </c>
      <c r="H763" s="1" t="s">
        <v>20</v>
      </c>
      <c r="I763" s="1" t="s">
        <v>20</v>
      </c>
      <c r="J763" s="1" t="str">
        <f t="shared" si="109"/>
        <v>Закрито</v>
      </c>
      <c r="K763" s="5">
        <v>45604</v>
      </c>
      <c r="L763" s="1" t="s">
        <v>20</v>
      </c>
      <c r="M763" s="1" t="s">
        <v>22</v>
      </c>
      <c r="N763" s="5">
        <v>45604</v>
      </c>
    </row>
    <row r="764" spans="1:14" x14ac:dyDescent="0.3">
      <c r="A764" s="1" t="str">
        <f>"1_5668/2129-11/2024/О"</f>
        <v>1_5668/2129-11/2024/О</v>
      </c>
      <c r="B764" s="6">
        <v>45602</v>
      </c>
      <c r="C764" s="1" t="str">
        <f>"00038"</f>
        <v>00038</v>
      </c>
      <c r="D76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64" s="1" t="s">
        <v>20</v>
      </c>
      <c r="F7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64" s="1" t="str">
        <f t="shared" si="108"/>
        <v>Фізична особа</v>
      </c>
      <c r="H764" s="1" t="s">
        <v>20</v>
      </c>
      <c r="I764" s="1" t="s">
        <v>20</v>
      </c>
      <c r="J764" s="1" t="str">
        <f t="shared" si="109"/>
        <v>Закрито</v>
      </c>
      <c r="K764" s="6">
        <v>45602</v>
      </c>
      <c r="L764" s="1" t="s">
        <v>20</v>
      </c>
      <c r="M764" s="1" t="s">
        <v>22</v>
      </c>
      <c r="N764" s="5">
        <v>45602</v>
      </c>
    </row>
    <row r="765" spans="1:14" x14ac:dyDescent="0.3">
      <c r="A765" s="1" t="str">
        <f>"1_5669/2129-11/2024/С"</f>
        <v>1_5669/2129-11/2024/С</v>
      </c>
      <c r="B765" s="6">
        <v>45602</v>
      </c>
      <c r="C765" s="1" t="str">
        <f>"00038"</f>
        <v>00038</v>
      </c>
      <c r="D76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65" s="1" t="s">
        <v>20</v>
      </c>
      <c r="F76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65" s="1" t="str">
        <f t="shared" si="108"/>
        <v>Фізична особа</v>
      </c>
      <c r="H765" s="1" t="s">
        <v>20</v>
      </c>
      <c r="I765" s="1" t="s">
        <v>20</v>
      </c>
      <c r="J765" s="1" t="str">
        <f t="shared" si="109"/>
        <v>Закрито</v>
      </c>
      <c r="K765" s="6">
        <v>45602</v>
      </c>
      <c r="L765" s="1" t="s">
        <v>20</v>
      </c>
      <c r="M765" s="1" t="s">
        <v>22</v>
      </c>
      <c r="N765" s="5">
        <v>45602</v>
      </c>
    </row>
    <row r="766" spans="1:14" x14ac:dyDescent="0.3">
      <c r="A766" s="1" t="str">
        <f>"14_953-11/2024/Б"</f>
        <v>14_953-11/2024/Б</v>
      </c>
      <c r="B766" s="6">
        <v>45602</v>
      </c>
      <c r="C766" s="1" t="str">
        <f>"00038"</f>
        <v>00038</v>
      </c>
      <c r="D76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66" s="1" t="s">
        <v>20</v>
      </c>
      <c r="F76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66" s="1" t="str">
        <f t="shared" si="108"/>
        <v>Фізична особа</v>
      </c>
      <c r="H766" s="1" t="s">
        <v>20</v>
      </c>
      <c r="I766" s="1" t="s">
        <v>20</v>
      </c>
      <c r="J766" s="1" t="str">
        <f t="shared" si="109"/>
        <v>Закрито</v>
      </c>
      <c r="K766" s="5">
        <v>45602</v>
      </c>
      <c r="L766" s="1" t="s">
        <v>20</v>
      </c>
      <c r="M766" s="1" t="s">
        <v>22</v>
      </c>
      <c r="N766" s="5">
        <v>45602</v>
      </c>
    </row>
    <row r="767" spans="1:14" x14ac:dyDescent="0.3">
      <c r="A767" s="1" t="str">
        <f>"1_5670/2129-11/2024/Р"</f>
        <v>1_5670/2129-11/2024/Р</v>
      </c>
      <c r="B767" s="6">
        <v>45602</v>
      </c>
      <c r="C767" s="1" t="str">
        <f>"00038"</f>
        <v>00038</v>
      </c>
      <c r="D76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67" s="1" t="s">
        <v>20</v>
      </c>
      <c r="F76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67" s="1" t="str">
        <f t="shared" si="108"/>
        <v>Фізична особа</v>
      </c>
      <c r="H767" s="1" t="s">
        <v>20</v>
      </c>
      <c r="I767" s="1" t="s">
        <v>20</v>
      </c>
      <c r="J767" s="1" t="str">
        <f t="shared" si="109"/>
        <v>Закрито</v>
      </c>
      <c r="K767" s="6">
        <v>45602</v>
      </c>
      <c r="L767" s="1" t="s">
        <v>20</v>
      </c>
      <c r="M767" s="1" t="s">
        <v>22</v>
      </c>
      <c r="N767" s="5">
        <v>45602</v>
      </c>
    </row>
    <row r="768" spans="1:14" x14ac:dyDescent="0.3">
      <c r="A768" s="1" t="str">
        <f>"6_315/04054323-11/2024/Б"</f>
        <v>6_315/04054323-11/2024/Б</v>
      </c>
      <c r="B768" s="6">
        <v>45602</v>
      </c>
      <c r="C768" s="1" t="str">
        <f>""</f>
        <v/>
      </c>
      <c r="D768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768" s="1" t="str">
        <f>"04054323"</f>
        <v>04054323</v>
      </c>
      <c r="F768" s="1" t="str">
        <f>"Рогатинська міська рада"</f>
        <v>Рогатинська міська рада</v>
      </c>
      <c r="G768" s="1" t="str">
        <f t="shared" si="108"/>
        <v>Фізична особа</v>
      </c>
      <c r="H768" s="1" t="s">
        <v>20</v>
      </c>
      <c r="I768" s="1" t="s">
        <v>20</v>
      </c>
      <c r="J768" s="1" t="str">
        <f t="shared" si="109"/>
        <v>Закрито</v>
      </c>
      <c r="K768" s="5">
        <v>45604</v>
      </c>
      <c r="L768" s="1" t="s">
        <v>20</v>
      </c>
      <c r="M768" s="1" t="s">
        <v>22</v>
      </c>
      <c r="N768" s="5">
        <v>45604</v>
      </c>
    </row>
    <row r="769" spans="1:14" x14ac:dyDescent="0.3">
      <c r="A769" s="1" t="str">
        <f>"1_5671/2129-11/2024/Л"</f>
        <v>1_5671/2129-11/2024/Л</v>
      </c>
      <c r="B769" s="6">
        <v>45602</v>
      </c>
      <c r="C769" s="1" t="str">
        <f>"00038"</f>
        <v>00038</v>
      </c>
      <c r="D76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69" s="1" t="s">
        <v>20</v>
      </c>
      <c r="F76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69" s="1" t="str">
        <f t="shared" si="108"/>
        <v>Фізична особа</v>
      </c>
      <c r="H769" s="1" t="s">
        <v>20</v>
      </c>
      <c r="I769" s="1" t="s">
        <v>20</v>
      </c>
      <c r="J769" s="1" t="str">
        <f t="shared" si="109"/>
        <v>Закрито</v>
      </c>
      <c r="K769" s="6">
        <v>45602</v>
      </c>
      <c r="L769" s="1" t="s">
        <v>20</v>
      </c>
      <c r="M769" s="1" t="s">
        <v>22</v>
      </c>
      <c r="N769" s="5">
        <v>45602</v>
      </c>
    </row>
    <row r="770" spans="1:14" x14ac:dyDescent="0.3">
      <c r="A770" s="1" t="str">
        <f>"4_1240/03193413-11/2024/Д"</f>
        <v>4_1240/03193413-11/2024/Д</v>
      </c>
      <c r="B770" s="6">
        <v>45602</v>
      </c>
      <c r="C770" s="1" t="str">
        <f>"00155"</f>
        <v>00155</v>
      </c>
      <c r="D770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770" s="1" t="str">
        <f>"03193413"</f>
        <v>03193413</v>
      </c>
      <c r="F77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770" s="1" t="str">
        <f t="shared" si="108"/>
        <v>Фізична особа</v>
      </c>
      <c r="H770" s="1" t="s">
        <v>20</v>
      </c>
      <c r="I770" s="1" t="s">
        <v>20</v>
      </c>
      <c r="J770" s="1" t="str">
        <f t="shared" si="109"/>
        <v>Закрито</v>
      </c>
      <c r="K770" s="5">
        <v>45629</v>
      </c>
      <c r="L770" s="1" t="s">
        <v>20</v>
      </c>
      <c r="M770" s="1" t="s">
        <v>22</v>
      </c>
      <c r="N770" s="5">
        <v>45629</v>
      </c>
    </row>
    <row r="771" spans="1:14" x14ac:dyDescent="0.3">
      <c r="A771" s="1" t="str">
        <f>"9_1601/04054323-11/2024/Ц"</f>
        <v>9_1601/04054323-11/2024/Ц</v>
      </c>
      <c r="B771" s="6">
        <v>45602</v>
      </c>
      <c r="C771" s="1" t="str">
        <f>"01-1"</f>
        <v>01-1</v>
      </c>
      <c r="D771" s="2" t="s">
        <v>0</v>
      </c>
      <c r="E771" s="1" t="str">
        <f>"04054323"</f>
        <v>04054323</v>
      </c>
      <c r="F771" s="1" t="str">
        <f>"Рогатинська міська рада"</f>
        <v>Рогатинська міська рада</v>
      </c>
      <c r="G771" s="1" t="str">
        <f t="shared" si="108"/>
        <v>Фізична особа</v>
      </c>
      <c r="H771" s="1" t="s">
        <v>20</v>
      </c>
      <c r="I771" s="1" t="s">
        <v>20</v>
      </c>
      <c r="J771" s="1" t="str">
        <f t="shared" si="109"/>
        <v>Закрито</v>
      </c>
      <c r="K771" s="5">
        <v>45637</v>
      </c>
      <c r="L771" s="1" t="s">
        <v>20</v>
      </c>
      <c r="M771" s="1" t="s">
        <v>22</v>
      </c>
      <c r="N771" s="5">
        <v>45637</v>
      </c>
    </row>
    <row r="772" spans="1:14" x14ac:dyDescent="0.3">
      <c r="A772" s="1" t="str">
        <f>"1_5672/2129-11/2024/Л"</f>
        <v>1_5672/2129-11/2024/Л</v>
      </c>
      <c r="B772" s="6">
        <v>45602</v>
      </c>
      <c r="C772" s="1" t="str">
        <f>"00038"</f>
        <v>00038</v>
      </c>
      <c r="D77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72" s="1" t="s">
        <v>20</v>
      </c>
      <c r="F77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72" s="1" t="str">
        <f t="shared" si="108"/>
        <v>Фізична особа</v>
      </c>
      <c r="H772" s="1" t="s">
        <v>20</v>
      </c>
      <c r="I772" s="1" t="s">
        <v>20</v>
      </c>
      <c r="J772" s="1" t="str">
        <f>"Зареєстрований"</f>
        <v>Зареєстрований</v>
      </c>
      <c r="K772" s="7" t="str">
        <f>""</f>
        <v/>
      </c>
      <c r="L772" s="1" t="s">
        <v>20</v>
      </c>
      <c r="M772" s="1" t="s">
        <v>22</v>
      </c>
      <c r="N772" s="1" t="s">
        <v>20</v>
      </c>
    </row>
    <row r="773" spans="1:14" x14ac:dyDescent="0.3">
      <c r="A773" s="1" t="str">
        <f>"1_5673/2129-11/2024/Л"</f>
        <v>1_5673/2129-11/2024/Л</v>
      </c>
      <c r="B773" s="6">
        <v>45602</v>
      </c>
      <c r="C773" s="1" t="str">
        <f>"00038"</f>
        <v>00038</v>
      </c>
      <c r="D77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73" s="1" t="s">
        <v>20</v>
      </c>
      <c r="F77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73" s="1" t="str">
        <f t="shared" si="108"/>
        <v>Фізична особа</v>
      </c>
      <c r="H773" s="1" t="s">
        <v>20</v>
      </c>
      <c r="I773" s="1" t="s">
        <v>20</v>
      </c>
      <c r="J773" s="1" t="str">
        <f t="shared" ref="J773:J810" si="110">"Закрито"</f>
        <v>Закрито</v>
      </c>
      <c r="K773" s="6">
        <v>45602</v>
      </c>
      <c r="L773" s="1" t="s">
        <v>20</v>
      </c>
      <c r="M773" s="1" t="s">
        <v>22</v>
      </c>
      <c r="N773" s="5">
        <v>45602</v>
      </c>
    </row>
    <row r="774" spans="1:14" x14ac:dyDescent="0.3">
      <c r="A774" s="1" t="str">
        <f>"6_316/04054323-11/2024/Ж"</f>
        <v>6_316/04054323-11/2024/Ж</v>
      </c>
      <c r="B774" s="6">
        <v>45602</v>
      </c>
      <c r="C774" s="1" t="str">
        <f>""</f>
        <v/>
      </c>
      <c r="D774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774" s="1" t="str">
        <f>"04054323"</f>
        <v>04054323</v>
      </c>
      <c r="F774" s="1" t="str">
        <f>"Рогатинська міська рада"</f>
        <v>Рогатинська міська рада</v>
      </c>
      <c r="G774" s="1" t="str">
        <f t="shared" si="108"/>
        <v>Фізична особа</v>
      </c>
      <c r="H774" s="1" t="s">
        <v>20</v>
      </c>
      <c r="I774" s="1" t="s">
        <v>20</v>
      </c>
      <c r="J774" s="1" t="str">
        <f t="shared" si="110"/>
        <v>Закрито</v>
      </c>
      <c r="K774" s="5">
        <v>45604</v>
      </c>
      <c r="L774" s="1" t="s">
        <v>20</v>
      </c>
      <c r="M774" s="1" t="s">
        <v>22</v>
      </c>
      <c r="N774" s="5">
        <v>45604</v>
      </c>
    </row>
    <row r="775" spans="1:14" x14ac:dyDescent="0.3">
      <c r="A775" s="1" t="str">
        <f>"9_1602/04054323-11/2024/Ц"</f>
        <v>9_1602/04054323-11/2024/Ц</v>
      </c>
      <c r="B775" s="6">
        <v>45602</v>
      </c>
      <c r="C775" s="1" t="str">
        <f>"01"</f>
        <v>01</v>
      </c>
      <c r="D775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775" s="1" t="str">
        <f>"04054323"</f>
        <v>04054323</v>
      </c>
      <c r="F775" s="1" t="str">
        <f>"Рогатинська міська рада"</f>
        <v>Рогатинська міська рада</v>
      </c>
      <c r="G775" s="1" t="str">
        <f t="shared" si="108"/>
        <v>Фізична особа</v>
      </c>
      <c r="H775" s="1" t="s">
        <v>20</v>
      </c>
      <c r="I775" s="1" t="s">
        <v>20</v>
      </c>
      <c r="J775" s="1" t="str">
        <f t="shared" si="110"/>
        <v>Закрито</v>
      </c>
      <c r="K775" s="5">
        <v>45637</v>
      </c>
      <c r="L775" s="1" t="s">
        <v>20</v>
      </c>
      <c r="M775" s="1" t="s">
        <v>22</v>
      </c>
      <c r="N775" s="5">
        <v>45637</v>
      </c>
    </row>
    <row r="776" spans="1:14" x14ac:dyDescent="0.3">
      <c r="A776" s="1" t="str">
        <f>"1_5674/2129-11/2024/Л"</f>
        <v>1_5674/2129-11/2024/Л</v>
      </c>
      <c r="B776" s="6">
        <v>45602</v>
      </c>
      <c r="C776" s="1" t="str">
        <f>"00038"</f>
        <v>00038</v>
      </c>
      <c r="D77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76" s="1" t="s">
        <v>20</v>
      </c>
      <c r="F77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76" s="1" t="str">
        <f t="shared" si="108"/>
        <v>Фізична особа</v>
      </c>
      <c r="H776" s="1" t="s">
        <v>20</v>
      </c>
      <c r="I776" s="1" t="s">
        <v>20</v>
      </c>
      <c r="J776" s="1" t="str">
        <f t="shared" si="110"/>
        <v>Закрито</v>
      </c>
      <c r="K776" s="6">
        <v>45602</v>
      </c>
      <c r="L776" s="1" t="s">
        <v>20</v>
      </c>
      <c r="M776" s="1" t="s">
        <v>22</v>
      </c>
      <c r="N776" s="5">
        <v>45602</v>
      </c>
    </row>
    <row r="777" spans="1:14" x14ac:dyDescent="0.3">
      <c r="A777" s="1" t="str">
        <f>"8_522-11/2024/П"</f>
        <v>8_522-11/2024/П</v>
      </c>
      <c r="B777" s="6">
        <v>45602</v>
      </c>
      <c r="C777" s="1" t="str">
        <f>"00038"</f>
        <v>00038</v>
      </c>
      <c r="D77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77" s="1" t="s">
        <v>20</v>
      </c>
      <c r="F77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77" s="1" t="str">
        <f t="shared" si="108"/>
        <v>Фізична особа</v>
      </c>
      <c r="H777" s="1" t="s">
        <v>20</v>
      </c>
      <c r="I777" s="1" t="s">
        <v>20</v>
      </c>
      <c r="J777" s="1" t="str">
        <f t="shared" si="110"/>
        <v>Закрито</v>
      </c>
      <c r="K777" s="5">
        <v>45602</v>
      </c>
      <c r="L777" s="1" t="s">
        <v>20</v>
      </c>
      <c r="M777" s="1" t="s">
        <v>22</v>
      </c>
      <c r="N777" s="5">
        <v>45602</v>
      </c>
    </row>
    <row r="778" spans="1:14" x14ac:dyDescent="0.3">
      <c r="A778" s="1" t="str">
        <f>"6_317/04054323-11/2024/З"</f>
        <v>6_317/04054323-11/2024/З</v>
      </c>
      <c r="B778" s="6">
        <v>45602</v>
      </c>
      <c r="C778" s="1" t="str">
        <f>""</f>
        <v/>
      </c>
      <c r="D778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778" s="1" t="str">
        <f>"04054323"</f>
        <v>04054323</v>
      </c>
      <c r="F778" s="1" t="str">
        <f>"Рогатинська міська рада"</f>
        <v>Рогатинська міська рада</v>
      </c>
      <c r="G778" s="1" t="str">
        <f t="shared" si="108"/>
        <v>Фізична особа</v>
      </c>
      <c r="H778" s="1" t="s">
        <v>20</v>
      </c>
      <c r="I778" s="1" t="s">
        <v>20</v>
      </c>
      <c r="J778" s="1" t="str">
        <f t="shared" si="110"/>
        <v>Закрито</v>
      </c>
      <c r="K778" s="5">
        <v>45604</v>
      </c>
      <c r="L778" s="1" t="s">
        <v>20</v>
      </c>
      <c r="M778" s="1" t="s">
        <v>22</v>
      </c>
      <c r="N778" s="5">
        <v>45604</v>
      </c>
    </row>
    <row r="779" spans="1:14" x14ac:dyDescent="0.3">
      <c r="A779" s="1" t="str">
        <f>"1_5675/2129-11/2024/К"</f>
        <v>1_5675/2129-11/2024/К</v>
      </c>
      <c r="B779" s="6">
        <v>45602</v>
      </c>
      <c r="C779" s="1" t="str">
        <f>"00038"</f>
        <v>00038</v>
      </c>
      <c r="D77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79" s="1" t="s">
        <v>20</v>
      </c>
      <c r="F77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79" s="1" t="str">
        <f t="shared" si="108"/>
        <v>Фізична особа</v>
      </c>
      <c r="H779" s="1" t="s">
        <v>20</v>
      </c>
      <c r="I779" s="1" t="s">
        <v>20</v>
      </c>
      <c r="J779" s="1" t="str">
        <f t="shared" si="110"/>
        <v>Закрито</v>
      </c>
      <c r="K779" s="6">
        <v>45602</v>
      </c>
      <c r="L779" s="1" t="s">
        <v>20</v>
      </c>
      <c r="M779" s="1" t="s">
        <v>22</v>
      </c>
      <c r="N779" s="5">
        <v>45602</v>
      </c>
    </row>
    <row r="780" spans="1:14" x14ac:dyDescent="0.3">
      <c r="A780" s="1" t="str">
        <f>"8_523-11/2024/Х"</f>
        <v>8_523-11/2024/Х</v>
      </c>
      <c r="B780" s="6">
        <v>45602</v>
      </c>
      <c r="C780" s="1" t="str">
        <f>"00038"</f>
        <v>00038</v>
      </c>
      <c r="D78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80" s="1" t="s">
        <v>20</v>
      </c>
      <c r="F78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80" s="1" t="str">
        <f t="shared" si="108"/>
        <v>Фізична особа</v>
      </c>
      <c r="H780" s="1" t="s">
        <v>20</v>
      </c>
      <c r="I780" s="1" t="s">
        <v>20</v>
      </c>
      <c r="J780" s="1" t="str">
        <f t="shared" si="110"/>
        <v>Закрито</v>
      </c>
      <c r="K780" s="5">
        <v>45602</v>
      </c>
      <c r="L780" s="1" t="s">
        <v>20</v>
      </c>
      <c r="M780" s="1" t="s">
        <v>22</v>
      </c>
      <c r="N780" s="5">
        <v>45602</v>
      </c>
    </row>
    <row r="781" spans="1:14" x14ac:dyDescent="0.3">
      <c r="A781" s="1" t="str">
        <f>"1_5676/2129-11/2024/С"</f>
        <v>1_5676/2129-11/2024/С</v>
      </c>
      <c r="B781" s="6">
        <v>45602</v>
      </c>
      <c r="C781" s="1" t="str">
        <f>"00038"</f>
        <v>00038</v>
      </c>
      <c r="D78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81" s="1" t="s">
        <v>20</v>
      </c>
      <c r="F7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81" s="1" t="str">
        <f t="shared" si="108"/>
        <v>Фізична особа</v>
      </c>
      <c r="H781" s="1" t="s">
        <v>20</v>
      </c>
      <c r="I781" s="1" t="s">
        <v>20</v>
      </c>
      <c r="J781" s="1" t="str">
        <f t="shared" si="110"/>
        <v>Закрито</v>
      </c>
      <c r="K781" s="6">
        <v>45602</v>
      </c>
      <c r="L781" s="1" t="s">
        <v>20</v>
      </c>
      <c r="M781" s="1" t="s">
        <v>22</v>
      </c>
      <c r="N781" s="5">
        <v>45602</v>
      </c>
    </row>
    <row r="782" spans="1:14" x14ac:dyDescent="0.3">
      <c r="A782" s="1" t="str">
        <f>"1_5677/2129-11/2024/Н"</f>
        <v>1_5677/2129-11/2024/Н</v>
      </c>
      <c r="B782" s="6">
        <v>45602</v>
      </c>
      <c r="C782" s="1" t="str">
        <f>"00038"</f>
        <v>00038</v>
      </c>
      <c r="D78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82" s="1" t="s">
        <v>20</v>
      </c>
      <c r="F78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82" s="1" t="str">
        <f t="shared" si="108"/>
        <v>Фізична особа</v>
      </c>
      <c r="H782" s="1" t="s">
        <v>20</v>
      </c>
      <c r="I782" s="1" t="s">
        <v>20</v>
      </c>
      <c r="J782" s="1" t="str">
        <f t="shared" si="110"/>
        <v>Закрито</v>
      </c>
      <c r="K782" s="6">
        <v>45602</v>
      </c>
      <c r="L782" s="1" t="s">
        <v>20</v>
      </c>
      <c r="M782" s="1" t="s">
        <v>22</v>
      </c>
      <c r="N782" s="5">
        <v>45602</v>
      </c>
    </row>
    <row r="783" spans="1:14" x14ac:dyDescent="0.3">
      <c r="A783" s="1" t="str">
        <f>"4_1241/03193413-11/2024/г"</f>
        <v>4_1241/03193413-11/2024/г</v>
      </c>
      <c r="B783" s="6">
        <v>45602</v>
      </c>
      <c r="C783" s="1" t="str">
        <f>"00103"</f>
        <v>00103</v>
      </c>
      <c r="D783" s="2" t="s">
        <v>1</v>
      </c>
      <c r="E783" s="1" t="str">
        <f>"03193413"</f>
        <v>03193413</v>
      </c>
      <c r="F78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783" s="1" t="str">
        <f t="shared" si="108"/>
        <v>Фізична особа</v>
      </c>
      <c r="H783" s="1" t="s">
        <v>20</v>
      </c>
      <c r="I783" s="1" t="s">
        <v>20</v>
      </c>
      <c r="J783" s="1" t="str">
        <f t="shared" si="110"/>
        <v>Закрито</v>
      </c>
      <c r="K783" s="5">
        <v>45604</v>
      </c>
      <c r="L783" s="1" t="s">
        <v>20</v>
      </c>
      <c r="M783" s="1" t="s">
        <v>22</v>
      </c>
      <c r="N783" s="5">
        <v>45604</v>
      </c>
    </row>
    <row r="784" spans="1:14" x14ac:dyDescent="0.3">
      <c r="A784" s="1" t="str">
        <f>"1_5678/2129-11/2024/Д"</f>
        <v>1_5678/2129-11/2024/Д</v>
      </c>
      <c r="B784" s="6">
        <v>45602</v>
      </c>
      <c r="C784" s="1" t="str">
        <f>"00038"</f>
        <v>00038</v>
      </c>
      <c r="D78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84" s="1" t="s">
        <v>20</v>
      </c>
      <c r="F78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84" s="1" t="str">
        <f t="shared" si="108"/>
        <v>Фізична особа</v>
      </c>
      <c r="H784" s="1" t="s">
        <v>20</v>
      </c>
      <c r="I784" s="1" t="s">
        <v>20</v>
      </c>
      <c r="J784" s="1" t="str">
        <f t="shared" si="110"/>
        <v>Закрито</v>
      </c>
      <c r="K784" s="6">
        <v>45602</v>
      </c>
      <c r="L784" s="1" t="s">
        <v>20</v>
      </c>
      <c r="M784" s="1" t="s">
        <v>22</v>
      </c>
      <c r="N784" s="5">
        <v>45602</v>
      </c>
    </row>
    <row r="785" spans="1:14" x14ac:dyDescent="0.3">
      <c r="A785" s="1" t="str">
        <f>"1_5679/2129-11/2024/М"</f>
        <v>1_5679/2129-11/2024/М</v>
      </c>
      <c r="B785" s="6">
        <v>45602</v>
      </c>
      <c r="C785" s="1" t="str">
        <f>"00038"</f>
        <v>00038</v>
      </c>
      <c r="D78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85" s="1" t="s">
        <v>20</v>
      </c>
      <c r="F78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85" s="1" t="str">
        <f t="shared" si="108"/>
        <v>Фізична особа</v>
      </c>
      <c r="H785" s="1" t="s">
        <v>20</v>
      </c>
      <c r="I785" s="1" t="s">
        <v>20</v>
      </c>
      <c r="J785" s="1" t="str">
        <f t="shared" si="110"/>
        <v>Закрито</v>
      </c>
      <c r="K785" s="6">
        <v>45602</v>
      </c>
      <c r="L785" s="1" t="s">
        <v>20</v>
      </c>
      <c r="M785" s="1" t="s">
        <v>22</v>
      </c>
      <c r="N785" s="5">
        <v>45602</v>
      </c>
    </row>
    <row r="786" spans="1:14" x14ac:dyDescent="0.3">
      <c r="A786" s="1" t="str">
        <f>"9_1603/04054323-11/2024/К"</f>
        <v>9_1603/04054323-11/2024/К</v>
      </c>
      <c r="B786" s="6">
        <v>45602</v>
      </c>
      <c r="C786" s="1" t="str">
        <f>"01-1"</f>
        <v>01-1</v>
      </c>
      <c r="D786" s="2" t="s">
        <v>0</v>
      </c>
      <c r="E786" s="1" t="str">
        <f>"04054323"</f>
        <v>04054323</v>
      </c>
      <c r="F786" s="1" t="str">
        <f>"Рогатинська міська рада"</f>
        <v>Рогатинська міська рада</v>
      </c>
      <c r="G786" s="1" t="str">
        <f t="shared" si="108"/>
        <v>Фізична особа</v>
      </c>
      <c r="H786" s="1" t="s">
        <v>20</v>
      </c>
      <c r="I786" s="1" t="s">
        <v>20</v>
      </c>
      <c r="J786" s="1" t="str">
        <f t="shared" si="110"/>
        <v>Закрито</v>
      </c>
      <c r="K786" s="5">
        <v>45637</v>
      </c>
      <c r="L786" s="1" t="s">
        <v>20</v>
      </c>
      <c r="M786" s="1" t="s">
        <v>22</v>
      </c>
      <c r="N786" s="5">
        <v>45637</v>
      </c>
    </row>
    <row r="787" spans="1:14" x14ac:dyDescent="0.3">
      <c r="A787" s="1" t="str">
        <f>"9_1604/04054323-11/2024/К"</f>
        <v>9_1604/04054323-11/2024/К</v>
      </c>
      <c r="B787" s="6">
        <v>45602</v>
      </c>
      <c r="C787" s="1" t="str">
        <f>"01"</f>
        <v>01</v>
      </c>
      <c r="D787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787" s="1" t="str">
        <f>"04054323"</f>
        <v>04054323</v>
      </c>
      <c r="F787" s="1" t="str">
        <f>"Рогатинська міська рада"</f>
        <v>Рогатинська міська рада</v>
      </c>
      <c r="G787" s="1" t="str">
        <f t="shared" si="108"/>
        <v>Фізична особа</v>
      </c>
      <c r="H787" s="1" t="s">
        <v>20</v>
      </c>
      <c r="I787" s="1" t="s">
        <v>20</v>
      </c>
      <c r="J787" s="1" t="str">
        <f t="shared" si="110"/>
        <v>Закрито</v>
      </c>
      <c r="K787" s="5">
        <v>45637</v>
      </c>
      <c r="L787" s="1" t="s">
        <v>20</v>
      </c>
      <c r="M787" s="1" t="s">
        <v>22</v>
      </c>
      <c r="N787" s="5">
        <v>45637</v>
      </c>
    </row>
    <row r="788" spans="1:14" x14ac:dyDescent="0.3">
      <c r="A788" s="1" t="str">
        <f>"30_600-11/2024/В"</f>
        <v>30_600-11/2024/В</v>
      </c>
      <c r="B788" s="6">
        <v>45602</v>
      </c>
      <c r="C788" s="1" t="str">
        <f>"00038"</f>
        <v>00038</v>
      </c>
      <c r="D78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88" s="1" t="s">
        <v>20</v>
      </c>
      <c r="F7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88" s="1" t="str">
        <f t="shared" si="108"/>
        <v>Фізична особа</v>
      </c>
      <c r="H788" s="1" t="s">
        <v>20</v>
      </c>
      <c r="I788" s="1" t="s">
        <v>20</v>
      </c>
      <c r="J788" s="1" t="str">
        <f t="shared" si="110"/>
        <v>Закрито</v>
      </c>
      <c r="K788" s="5">
        <v>45602</v>
      </c>
      <c r="L788" s="1" t="s">
        <v>20</v>
      </c>
      <c r="M788" s="1" t="s">
        <v>22</v>
      </c>
      <c r="N788" s="5">
        <v>45602</v>
      </c>
    </row>
    <row r="789" spans="1:14" x14ac:dyDescent="0.3">
      <c r="A789" s="1" t="str">
        <f>"30_601-11/2024/В"</f>
        <v>30_601-11/2024/В</v>
      </c>
      <c r="B789" s="6">
        <v>45602</v>
      </c>
      <c r="C789" s="1" t="str">
        <f>"00037"</f>
        <v>00037</v>
      </c>
      <c r="D789" s="2" t="str">
        <f>"Зняття з реєстрації місця проживання"</f>
        <v>Зняття з реєстрації місця проживання</v>
      </c>
      <c r="E789" s="1" t="s">
        <v>20</v>
      </c>
      <c r="F78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89" s="1" t="str">
        <f t="shared" si="108"/>
        <v>Фізична особа</v>
      </c>
      <c r="H789" s="1" t="s">
        <v>20</v>
      </c>
      <c r="I789" s="1" t="s">
        <v>20</v>
      </c>
      <c r="J789" s="1" t="str">
        <f t="shared" si="110"/>
        <v>Закрито</v>
      </c>
      <c r="K789" s="5">
        <v>45602</v>
      </c>
      <c r="L789" s="1" t="s">
        <v>20</v>
      </c>
      <c r="M789" s="1" t="s">
        <v>22</v>
      </c>
      <c r="N789" s="5">
        <v>45602</v>
      </c>
    </row>
    <row r="790" spans="1:14" x14ac:dyDescent="0.3">
      <c r="A790" s="1" t="str">
        <f>"30_602-11/2024/п"</f>
        <v>30_602-11/2024/п</v>
      </c>
      <c r="B790" s="6">
        <v>45602</v>
      </c>
      <c r="C790" s="1" t="str">
        <f>"01495"</f>
        <v>01495</v>
      </c>
      <c r="D790" s="2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790" s="1" t="s">
        <v>20</v>
      </c>
      <c r="F79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90" s="1" t="str">
        <f>"Юридична особа"</f>
        <v>Юридична особа</v>
      </c>
      <c r="H790" s="1" t="str">
        <f>"приватний нотаріус Клід Оксана Ярославівна Івано-Франківський районний нотаріальний округ Івано-Франківської області"</f>
        <v>приватний нотаріус Клід Оксана Ярославівна Івано-Франківський районний нотаріальний округ Івано-Франківської області</v>
      </c>
      <c r="I790" s="1" t="s">
        <v>20</v>
      </c>
      <c r="J790" s="1" t="str">
        <f t="shared" si="110"/>
        <v>Закрито</v>
      </c>
      <c r="K790" s="5">
        <v>45602</v>
      </c>
      <c r="L790" s="1" t="s">
        <v>20</v>
      </c>
      <c r="M790" s="1" t="s">
        <v>22</v>
      </c>
      <c r="N790" s="5">
        <v>45602</v>
      </c>
    </row>
    <row r="791" spans="1:14" x14ac:dyDescent="0.3">
      <c r="A791" s="1" t="str">
        <f>"30_603-11/2024/В"</f>
        <v>30_603-11/2024/В</v>
      </c>
      <c r="B791" s="6">
        <v>45602</v>
      </c>
      <c r="C791" s="1" t="str">
        <f>"33"</f>
        <v>33</v>
      </c>
      <c r="D791" s="2" t="str">
        <f>"33 Довідки різного характеру"</f>
        <v>33 Довідки різного характеру</v>
      </c>
      <c r="E791" s="1" t="s">
        <v>20</v>
      </c>
      <c r="F79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91" s="1" t="str">
        <f>"Фізична особа"</f>
        <v>Фізична особа</v>
      </c>
      <c r="H791" s="1" t="s">
        <v>20</v>
      </c>
      <c r="I791" s="1" t="s">
        <v>20</v>
      </c>
      <c r="J791" s="1" t="str">
        <f t="shared" si="110"/>
        <v>Закрито</v>
      </c>
      <c r="K791" s="5">
        <v>45602</v>
      </c>
      <c r="L791" s="1" t="s">
        <v>20</v>
      </c>
      <c r="M791" s="1" t="s">
        <v>22</v>
      </c>
      <c r="N791" s="5">
        <v>45602</v>
      </c>
    </row>
    <row r="792" spans="1:14" x14ac:dyDescent="0.3">
      <c r="A792" s="1" t="str">
        <f>"6_318/04054323-11/2024/С"</f>
        <v>6_318/04054323-11/2024/С</v>
      </c>
      <c r="B792" s="6">
        <v>45602</v>
      </c>
      <c r="C792" s="1" t="str">
        <f>""</f>
        <v/>
      </c>
      <c r="D792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792" s="1" t="str">
        <f>"04054323"</f>
        <v>04054323</v>
      </c>
      <c r="F792" s="1" t="str">
        <f>"Рогатинська міська рада"</f>
        <v>Рогатинська міська рада</v>
      </c>
      <c r="G792" s="1" t="str">
        <f>"Фізична особа"</f>
        <v>Фізична особа</v>
      </c>
      <c r="H792" s="1" t="s">
        <v>20</v>
      </c>
      <c r="I792" s="1" t="s">
        <v>20</v>
      </c>
      <c r="J792" s="1" t="str">
        <f t="shared" si="110"/>
        <v>Закрито</v>
      </c>
      <c r="K792" s="5">
        <v>45604</v>
      </c>
      <c r="L792" s="1" t="s">
        <v>20</v>
      </c>
      <c r="M792" s="1" t="s">
        <v>22</v>
      </c>
      <c r="N792" s="5">
        <v>45604</v>
      </c>
    </row>
    <row r="793" spans="1:14" x14ac:dyDescent="0.3">
      <c r="A793" s="1" t="str">
        <f>"30_604-11/2024/Г"</f>
        <v>30_604-11/2024/Г</v>
      </c>
      <c r="B793" s="6">
        <v>45602</v>
      </c>
      <c r="C793" s="1" t="str">
        <f>"00034"</f>
        <v>00034</v>
      </c>
      <c r="D793" s="2" t="str">
        <f>"Реєстрація місця проживання"</f>
        <v>Реєстрація місця проживання</v>
      </c>
      <c r="E793" s="1" t="s">
        <v>20</v>
      </c>
      <c r="F79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93" s="1" t="str">
        <f>"Фізична особа"</f>
        <v>Фізична особа</v>
      </c>
      <c r="H793" s="1" t="s">
        <v>20</v>
      </c>
      <c r="I793" s="1" t="s">
        <v>20</v>
      </c>
      <c r="J793" s="1" t="str">
        <f t="shared" si="110"/>
        <v>Закрито</v>
      </c>
      <c r="K793" s="5">
        <v>45602</v>
      </c>
      <c r="L793" s="1" t="str">
        <f>"75.7"</f>
        <v>75.7</v>
      </c>
      <c r="M793" s="1" t="s">
        <v>22</v>
      </c>
      <c r="N793" s="5">
        <v>45602</v>
      </c>
    </row>
    <row r="794" spans="1:14" x14ac:dyDescent="0.3">
      <c r="A794" s="1" t="str">
        <f>"1_5680/2129-11/2024/В"</f>
        <v>1_5680/2129-11/2024/В</v>
      </c>
      <c r="B794" s="6">
        <v>45602</v>
      </c>
      <c r="C794" s="1" t="str">
        <f>"00037"</f>
        <v>00037</v>
      </c>
      <c r="D794" s="2" t="str">
        <f>"Зняття з реєстрації місця проживання"</f>
        <v>Зняття з реєстрації місця проживання</v>
      </c>
      <c r="E794" s="1" t="s">
        <v>20</v>
      </c>
      <c r="F7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94" s="1" t="str">
        <f>"Фізична особа"</f>
        <v>Фізична особа</v>
      </c>
      <c r="H794" s="1" t="s">
        <v>20</v>
      </c>
      <c r="I794" s="1" t="s">
        <v>20</v>
      </c>
      <c r="J794" s="1" t="str">
        <f t="shared" si="110"/>
        <v>Закрито</v>
      </c>
      <c r="K794" s="6">
        <v>45602</v>
      </c>
      <c r="L794" s="1" t="s">
        <v>20</v>
      </c>
      <c r="M794" s="1" t="s">
        <v>22</v>
      </c>
      <c r="N794" s="5">
        <v>45602</v>
      </c>
    </row>
    <row r="795" spans="1:14" x14ac:dyDescent="0.3">
      <c r="A795" s="1" t="str">
        <f>"30_605-11/2024/Г"</f>
        <v>30_605-11/2024/Г</v>
      </c>
      <c r="B795" s="6">
        <v>45602</v>
      </c>
      <c r="C795" s="1" t="str">
        <f>"00038"</f>
        <v>00038</v>
      </c>
      <c r="D79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795" s="1" t="s">
        <v>20</v>
      </c>
      <c r="F79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95" s="1" t="str">
        <f>"Фізична особа"</f>
        <v>Фізична особа</v>
      </c>
      <c r="H795" s="1" t="s">
        <v>20</v>
      </c>
      <c r="I795" s="1" t="s">
        <v>20</v>
      </c>
      <c r="J795" s="1" t="str">
        <f t="shared" si="110"/>
        <v>Закрито</v>
      </c>
      <c r="K795" s="5">
        <v>45602</v>
      </c>
      <c r="L795" s="1" t="s">
        <v>20</v>
      </c>
      <c r="M795" s="1" t="s">
        <v>22</v>
      </c>
      <c r="N795" s="5">
        <v>45602</v>
      </c>
    </row>
    <row r="796" spans="1:14" x14ac:dyDescent="0.3">
      <c r="A796" s="1" t="str">
        <f>"1_5681/2129-11/2024/П"</f>
        <v>1_5681/2129-11/2024/П</v>
      </c>
      <c r="B796" s="6">
        <v>45602</v>
      </c>
      <c r="C796" s="1" t="str">
        <f>"01313"</f>
        <v>01313</v>
      </c>
      <c r="D796" s="2" t="str">
        <f>"Видача довідки про підтвердження місця проживання померлого"</f>
        <v>Видача довідки про підтвердження місця проживання померлого</v>
      </c>
      <c r="E796" s="1" t="s">
        <v>20</v>
      </c>
      <c r="F79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96" s="1" t="str">
        <f>"Юридична особа"</f>
        <v>Юридична особа</v>
      </c>
      <c r="H796" s="1" t="str">
        <f>"Приватний нотаріус"</f>
        <v>Приватний нотаріус</v>
      </c>
      <c r="I796" s="1" t="s">
        <v>20</v>
      </c>
      <c r="J796" s="1" t="str">
        <f t="shared" si="110"/>
        <v>Закрито</v>
      </c>
      <c r="K796" s="6">
        <v>45602</v>
      </c>
      <c r="L796" s="1" t="s">
        <v>20</v>
      </c>
      <c r="M796" s="1" t="s">
        <v>22</v>
      </c>
      <c r="N796" s="5">
        <v>45602</v>
      </c>
    </row>
    <row r="797" spans="1:14" x14ac:dyDescent="0.3">
      <c r="A797" s="1" t="str">
        <f>"6_319/04054323-11/2024/Б"</f>
        <v>6_319/04054323-11/2024/Б</v>
      </c>
      <c r="B797" s="6">
        <v>45602</v>
      </c>
      <c r="C797" s="1" t="str">
        <f>""</f>
        <v/>
      </c>
      <c r="D797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797" s="1" t="str">
        <f>"04054323"</f>
        <v>04054323</v>
      </c>
      <c r="F797" s="1" t="str">
        <f>"Рогатинська міська рада"</f>
        <v>Рогатинська міська рада</v>
      </c>
      <c r="G797" s="1" t="str">
        <f>"Фізична особа"</f>
        <v>Фізична особа</v>
      </c>
      <c r="H797" s="1" t="s">
        <v>20</v>
      </c>
      <c r="I797" s="1" t="s">
        <v>20</v>
      </c>
      <c r="J797" s="1" t="str">
        <f t="shared" si="110"/>
        <v>Закрито</v>
      </c>
      <c r="K797" s="5">
        <v>45604</v>
      </c>
      <c r="L797" s="1" t="s">
        <v>20</v>
      </c>
      <c r="M797" s="1" t="s">
        <v>22</v>
      </c>
      <c r="N797" s="5">
        <v>45604</v>
      </c>
    </row>
    <row r="798" spans="1:14" x14ac:dyDescent="0.3">
      <c r="A798" s="1" t="str">
        <f>"20_158-11/2024/В"</f>
        <v>20_158-11/2024/В</v>
      </c>
      <c r="B798" s="6">
        <v>45602</v>
      </c>
      <c r="C798" s="1" t="str">
        <f>"01297"</f>
        <v>01297</v>
      </c>
      <c r="D798" s="2" t="str">
        <f>"Видача довідок-характеристик на громадян"</f>
        <v>Видача довідок-характеристик на громадян</v>
      </c>
      <c r="E798" s="1" t="s">
        <v>20</v>
      </c>
      <c r="F79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798" s="1" t="str">
        <f>"Юридична особа"</f>
        <v>Юридична особа</v>
      </c>
      <c r="H798" s="1" t="str">
        <f>"Відділення поліції №4 (м.Рогатин)"</f>
        <v>Відділення поліції №4 (м.Рогатин)</v>
      </c>
      <c r="I798" s="1" t="s">
        <v>20</v>
      </c>
      <c r="J798" s="1" t="str">
        <f t="shared" si="110"/>
        <v>Закрито</v>
      </c>
      <c r="K798" s="5">
        <v>45602</v>
      </c>
      <c r="L798" s="1" t="s">
        <v>20</v>
      </c>
      <c r="M798" s="1" t="s">
        <v>22</v>
      </c>
      <c r="N798" s="5">
        <v>45602</v>
      </c>
    </row>
    <row r="799" spans="1:14" x14ac:dyDescent="0.3">
      <c r="A799" s="1" t="str">
        <f>"6_320/04054323-11/2024/К"</f>
        <v>6_320/04054323-11/2024/К</v>
      </c>
      <c r="B799" s="6">
        <v>45602</v>
      </c>
      <c r="C799" s="1" t="str">
        <f>""</f>
        <v/>
      </c>
      <c r="D799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799" s="1" t="str">
        <f>"04054323"</f>
        <v>04054323</v>
      </c>
      <c r="F799" s="1" t="str">
        <f>"Рогатинська міська рада"</f>
        <v>Рогатинська міська рада</v>
      </c>
      <c r="G799" s="1" t="str">
        <f>"Фізична особа"</f>
        <v>Фізична особа</v>
      </c>
      <c r="H799" s="1" t="s">
        <v>20</v>
      </c>
      <c r="I799" s="1" t="s">
        <v>20</v>
      </c>
      <c r="J799" s="1" t="str">
        <f t="shared" si="110"/>
        <v>Закрито</v>
      </c>
      <c r="K799" s="5">
        <v>45604</v>
      </c>
      <c r="L799" s="1" t="s">
        <v>20</v>
      </c>
      <c r="M799" s="1" t="s">
        <v>22</v>
      </c>
      <c r="N799" s="5">
        <v>45604</v>
      </c>
    </row>
    <row r="800" spans="1:14" x14ac:dyDescent="0.3">
      <c r="A800" s="1" t="str">
        <f>"6_321/04054323-11/2024/О"</f>
        <v>6_321/04054323-11/2024/О</v>
      </c>
      <c r="B800" s="6">
        <v>45602</v>
      </c>
      <c r="C800" s="1" t="str">
        <f>""</f>
        <v/>
      </c>
      <c r="D800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800" s="1" t="str">
        <f>"04054323"</f>
        <v>04054323</v>
      </c>
      <c r="F800" s="1" t="str">
        <f>"Рогатинська міська рада"</f>
        <v>Рогатинська міська рада</v>
      </c>
      <c r="G800" s="1" t="str">
        <f>"Фізична особа"</f>
        <v>Фізична особа</v>
      </c>
      <c r="H800" s="1" t="s">
        <v>20</v>
      </c>
      <c r="I800" s="1" t="s">
        <v>20</v>
      </c>
      <c r="J800" s="1" t="str">
        <f t="shared" si="110"/>
        <v>Закрито</v>
      </c>
      <c r="K800" s="5">
        <v>45604</v>
      </c>
      <c r="L800" s="1" t="s">
        <v>20</v>
      </c>
      <c r="M800" s="1" t="s">
        <v>22</v>
      </c>
      <c r="N800" s="5">
        <v>45604</v>
      </c>
    </row>
    <row r="801" spans="1:14" x14ac:dyDescent="0.3">
      <c r="A801" s="1" t="str">
        <f>"6_322/04054323-11/2024/К"</f>
        <v>6_322/04054323-11/2024/К</v>
      </c>
      <c r="B801" s="6">
        <v>45602</v>
      </c>
      <c r="C801" s="1" t="str">
        <f>""</f>
        <v/>
      </c>
      <c r="D801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801" s="1" t="str">
        <f>"04054323"</f>
        <v>04054323</v>
      </c>
      <c r="F801" s="1" t="str">
        <f>"Рогатинська міська рада"</f>
        <v>Рогатинська міська рада</v>
      </c>
      <c r="G801" s="1" t="str">
        <f>"Фізична особа"</f>
        <v>Фізична особа</v>
      </c>
      <c r="H801" s="1" t="s">
        <v>20</v>
      </c>
      <c r="I801" s="1" t="s">
        <v>20</v>
      </c>
      <c r="J801" s="1" t="str">
        <f t="shared" si="110"/>
        <v>Закрито</v>
      </c>
      <c r="K801" s="5">
        <v>45604</v>
      </c>
      <c r="L801" s="1" t="s">
        <v>20</v>
      </c>
      <c r="M801" s="1" t="s">
        <v>22</v>
      </c>
      <c r="N801" s="5">
        <v>45604</v>
      </c>
    </row>
    <row r="802" spans="1:14" x14ac:dyDescent="0.3">
      <c r="A802" s="1" t="str">
        <f>"6_323/04054323-11/2024/Л"</f>
        <v>6_323/04054323-11/2024/Л</v>
      </c>
      <c r="B802" s="6">
        <v>45602</v>
      </c>
      <c r="C802" s="1" t="str">
        <f>""</f>
        <v/>
      </c>
      <c r="D802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802" s="1" t="str">
        <f>"04054323"</f>
        <v>04054323</v>
      </c>
      <c r="F802" s="1" t="str">
        <f>"Рогатинська міська рада"</f>
        <v>Рогатинська міська рада</v>
      </c>
      <c r="G802" s="1" t="str">
        <f>"Фізична особа"</f>
        <v>Фізична особа</v>
      </c>
      <c r="H802" s="1" t="s">
        <v>20</v>
      </c>
      <c r="I802" s="1" t="s">
        <v>20</v>
      </c>
      <c r="J802" s="1" t="str">
        <f t="shared" si="110"/>
        <v>Закрито</v>
      </c>
      <c r="K802" s="5">
        <v>45604</v>
      </c>
      <c r="L802" s="1" t="s">
        <v>20</v>
      </c>
      <c r="M802" s="1" t="s">
        <v>22</v>
      </c>
      <c r="N802" s="5">
        <v>45604</v>
      </c>
    </row>
    <row r="803" spans="1:14" x14ac:dyDescent="0.3">
      <c r="A803" s="1" t="str">
        <f>"7_253/2129-11/2024/Р"</f>
        <v>7_253/2129-11/2024/Р</v>
      </c>
      <c r="B803" s="6">
        <v>45602</v>
      </c>
      <c r="C803" s="1" t="str">
        <f>"33"</f>
        <v>33</v>
      </c>
      <c r="D803" s="2" t="str">
        <f>"33 Довідки різного характеру"</f>
        <v>33 Довідки різного характеру</v>
      </c>
      <c r="E803" s="1" t="s">
        <v>20</v>
      </c>
      <c r="F80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03" s="1" t="str">
        <f>"Юридична особа"</f>
        <v>Юридична особа</v>
      </c>
      <c r="H803" s="1" t="str">
        <f>"Рогатинський районний суд"</f>
        <v>Рогатинський районний суд</v>
      </c>
      <c r="I803" s="1" t="s">
        <v>20</v>
      </c>
      <c r="J803" s="1" t="str">
        <f t="shared" si="110"/>
        <v>Закрито</v>
      </c>
      <c r="K803" s="5">
        <v>45602</v>
      </c>
      <c r="L803" s="1" t="s">
        <v>20</v>
      </c>
      <c r="M803" s="1" t="s">
        <v>22</v>
      </c>
      <c r="N803" s="5">
        <v>45602</v>
      </c>
    </row>
    <row r="804" spans="1:14" x14ac:dyDescent="0.3">
      <c r="A804" s="1" t="str">
        <f>"3_830-11/2024/К"</f>
        <v>3_830-11/2024/К</v>
      </c>
      <c r="B804" s="6">
        <v>45602</v>
      </c>
      <c r="C804" s="1" t="str">
        <f>"00133"</f>
        <v>00133</v>
      </c>
      <c r="D804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804" s="1" t="str">
        <f>"03193413"</f>
        <v>03193413</v>
      </c>
      <c r="F80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04" s="1" t="str">
        <f t="shared" ref="G804:G813" si="111">"Фізична особа"</f>
        <v>Фізична особа</v>
      </c>
      <c r="H804" s="1" t="s">
        <v>20</v>
      </c>
      <c r="I804" s="1" t="s">
        <v>20</v>
      </c>
      <c r="J804" s="1" t="str">
        <f t="shared" si="110"/>
        <v>Закрито</v>
      </c>
      <c r="K804" s="5">
        <v>45615</v>
      </c>
      <c r="L804" s="1" t="s">
        <v>20</v>
      </c>
      <c r="M804" s="1" t="s">
        <v>22</v>
      </c>
      <c r="N804" s="5">
        <v>45615</v>
      </c>
    </row>
    <row r="805" spans="1:14" x14ac:dyDescent="0.3">
      <c r="A805" s="1" t="str">
        <f>"6_324/04054323-11/2024/П"</f>
        <v>6_324/04054323-11/2024/П</v>
      </c>
      <c r="B805" s="6">
        <v>45602</v>
      </c>
      <c r="C805" s="1" t="str">
        <f>""</f>
        <v/>
      </c>
      <c r="D805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805" s="1" t="str">
        <f>"04054323"</f>
        <v>04054323</v>
      </c>
      <c r="F805" s="1" t="str">
        <f>"Рогатинська міська рада"</f>
        <v>Рогатинська міська рада</v>
      </c>
      <c r="G805" s="1" t="str">
        <f t="shared" si="111"/>
        <v>Фізична особа</v>
      </c>
      <c r="H805" s="1" t="s">
        <v>20</v>
      </c>
      <c r="I805" s="1" t="s">
        <v>20</v>
      </c>
      <c r="J805" s="1" t="str">
        <f t="shared" si="110"/>
        <v>Закрито</v>
      </c>
      <c r="K805" s="5">
        <v>45604</v>
      </c>
      <c r="L805" s="1" t="s">
        <v>20</v>
      </c>
      <c r="M805" s="1" t="s">
        <v>22</v>
      </c>
      <c r="N805" s="5">
        <v>45604</v>
      </c>
    </row>
    <row r="806" spans="1:14" x14ac:dyDescent="0.3">
      <c r="A806" s="1" t="str">
        <f>"6_325/04054323-11/2024/Н"</f>
        <v>6_325/04054323-11/2024/Н</v>
      </c>
      <c r="B806" s="6">
        <v>45602</v>
      </c>
      <c r="C806" s="1" t="str">
        <f>""</f>
        <v/>
      </c>
      <c r="D806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806" s="1" t="str">
        <f>"04054323"</f>
        <v>04054323</v>
      </c>
      <c r="F806" s="1" t="str">
        <f>"Рогатинська міська рада"</f>
        <v>Рогатинська міська рада</v>
      </c>
      <c r="G806" s="1" t="str">
        <f t="shared" si="111"/>
        <v>Фізична особа</v>
      </c>
      <c r="H806" s="1" t="s">
        <v>20</v>
      </c>
      <c r="I806" s="1" t="s">
        <v>20</v>
      </c>
      <c r="J806" s="1" t="str">
        <f t="shared" si="110"/>
        <v>Закрито</v>
      </c>
      <c r="K806" s="5">
        <v>45604</v>
      </c>
      <c r="L806" s="1" t="s">
        <v>20</v>
      </c>
      <c r="M806" s="1" t="s">
        <v>22</v>
      </c>
      <c r="N806" s="5">
        <v>45604</v>
      </c>
    </row>
    <row r="807" spans="1:14" x14ac:dyDescent="0.3">
      <c r="A807" s="1" t="str">
        <f>"6_326/04054323-11/2024/М"</f>
        <v>6_326/04054323-11/2024/М</v>
      </c>
      <c r="B807" s="6">
        <v>45602</v>
      </c>
      <c r="C807" s="1" t="str">
        <f>""</f>
        <v/>
      </c>
      <c r="D807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807" s="1" t="str">
        <f>"04054323"</f>
        <v>04054323</v>
      </c>
      <c r="F807" s="1" t="str">
        <f>"Рогатинська міська рада"</f>
        <v>Рогатинська міська рада</v>
      </c>
      <c r="G807" s="1" t="str">
        <f t="shared" si="111"/>
        <v>Фізична особа</v>
      </c>
      <c r="H807" s="1" t="s">
        <v>20</v>
      </c>
      <c r="I807" s="1" t="s">
        <v>20</v>
      </c>
      <c r="J807" s="1" t="str">
        <f t="shared" si="110"/>
        <v>Закрито</v>
      </c>
      <c r="K807" s="5">
        <v>45604</v>
      </c>
      <c r="L807" s="1" t="s">
        <v>20</v>
      </c>
      <c r="M807" s="1" t="s">
        <v>22</v>
      </c>
      <c r="N807" s="5">
        <v>45604</v>
      </c>
    </row>
    <row r="808" spans="1:14" x14ac:dyDescent="0.3">
      <c r="A808" s="1" t="str">
        <f>"1_5682/2129-11/2024/В"</f>
        <v>1_5682/2129-11/2024/В</v>
      </c>
      <c r="B808" s="6">
        <v>45602</v>
      </c>
      <c r="C808" s="1" t="str">
        <f>"00038"</f>
        <v>00038</v>
      </c>
      <c r="D80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08" s="1" t="s">
        <v>20</v>
      </c>
      <c r="F80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08" s="1" t="str">
        <f t="shared" si="111"/>
        <v>Фізична особа</v>
      </c>
      <c r="H808" s="1" t="s">
        <v>20</v>
      </c>
      <c r="I808" s="1" t="s">
        <v>20</v>
      </c>
      <c r="J808" s="1" t="str">
        <f t="shared" si="110"/>
        <v>Закрито</v>
      </c>
      <c r="K808" s="6">
        <v>45602</v>
      </c>
      <c r="L808" s="1" t="s">
        <v>20</v>
      </c>
      <c r="M808" s="1" t="s">
        <v>22</v>
      </c>
      <c r="N808" s="5">
        <v>45602</v>
      </c>
    </row>
    <row r="809" spans="1:14" x14ac:dyDescent="0.3">
      <c r="A809" s="1" t="str">
        <f>"6_327/04054323-11/2024/К"</f>
        <v>6_327/04054323-11/2024/К</v>
      </c>
      <c r="B809" s="6">
        <v>45602</v>
      </c>
      <c r="C809" s="1" t="str">
        <f>""</f>
        <v/>
      </c>
      <c r="D809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809" s="1" t="str">
        <f>"04054323"</f>
        <v>04054323</v>
      </c>
      <c r="F809" s="1" t="str">
        <f>"Рогатинська міська рада"</f>
        <v>Рогатинська міська рада</v>
      </c>
      <c r="G809" s="1" t="str">
        <f t="shared" si="111"/>
        <v>Фізична особа</v>
      </c>
      <c r="H809" s="1" t="s">
        <v>20</v>
      </c>
      <c r="I809" s="1" t="s">
        <v>20</v>
      </c>
      <c r="J809" s="1" t="str">
        <f t="shared" si="110"/>
        <v>Закрито</v>
      </c>
      <c r="K809" s="5">
        <v>45604</v>
      </c>
      <c r="L809" s="1" t="s">
        <v>20</v>
      </c>
      <c r="M809" s="1" t="s">
        <v>22</v>
      </c>
      <c r="N809" s="5">
        <v>45604</v>
      </c>
    </row>
    <row r="810" spans="1:14" x14ac:dyDescent="0.3">
      <c r="A810" s="1" t="str">
        <f>"6_328/04054323-11/2024/Д"</f>
        <v>6_328/04054323-11/2024/Д</v>
      </c>
      <c r="B810" s="6">
        <v>45602</v>
      </c>
      <c r="C810" s="1" t="str">
        <f>""</f>
        <v/>
      </c>
      <c r="D810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810" s="1" t="str">
        <f>"04054323"</f>
        <v>04054323</v>
      </c>
      <c r="F810" s="1" t="str">
        <f>"Рогатинська міська рада"</f>
        <v>Рогатинська міська рада</v>
      </c>
      <c r="G810" s="1" t="str">
        <f t="shared" si="111"/>
        <v>Фізична особа</v>
      </c>
      <c r="H810" s="1" t="s">
        <v>20</v>
      </c>
      <c r="I810" s="1" t="s">
        <v>20</v>
      </c>
      <c r="J810" s="1" t="str">
        <f t="shared" si="110"/>
        <v>Закрито</v>
      </c>
      <c r="K810" s="5">
        <v>45604</v>
      </c>
      <c r="L810" s="1" t="s">
        <v>20</v>
      </c>
      <c r="M810" s="1" t="s">
        <v>22</v>
      </c>
      <c r="N810" s="5">
        <v>45604</v>
      </c>
    </row>
    <row r="811" spans="1:14" x14ac:dyDescent="0.3">
      <c r="A811" s="1" t="str">
        <f>"27_568-11/2024/С"</f>
        <v>27_568-11/2024/С</v>
      </c>
      <c r="B811" s="6">
        <v>45602</v>
      </c>
      <c r="C811" s="1" t="str">
        <f>"00133"</f>
        <v>00133</v>
      </c>
      <c r="D811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811" s="1" t="str">
        <f>"03193413"</f>
        <v>03193413</v>
      </c>
      <c r="F81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11" s="1" t="str">
        <f t="shared" si="111"/>
        <v>Фізична особа</v>
      </c>
      <c r="H811" s="1" t="s">
        <v>20</v>
      </c>
      <c r="I811" s="1" t="s">
        <v>20</v>
      </c>
      <c r="J811" s="1" t="str">
        <f>"На обробці в СНАП"</f>
        <v>На обробці в СНАП</v>
      </c>
      <c r="K811" s="1" t="s">
        <v>20</v>
      </c>
      <c r="L811" s="1" t="s">
        <v>20</v>
      </c>
      <c r="M811" s="1" t="s">
        <v>22</v>
      </c>
      <c r="N811" s="1" t="s">
        <v>20</v>
      </c>
    </row>
    <row r="812" spans="1:14" x14ac:dyDescent="0.3">
      <c r="A812" s="1" t="str">
        <f>"6_329/04054323-11/2024/П"</f>
        <v>6_329/04054323-11/2024/П</v>
      </c>
      <c r="B812" s="6">
        <v>45602</v>
      </c>
      <c r="C812" s="1" t="str">
        <f>""</f>
        <v/>
      </c>
      <c r="D812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812" s="1" t="str">
        <f>"04054323"</f>
        <v>04054323</v>
      </c>
      <c r="F812" s="1" t="str">
        <f>"Рогатинська міська рада"</f>
        <v>Рогатинська міська рада</v>
      </c>
      <c r="G812" s="1" t="str">
        <f t="shared" si="111"/>
        <v>Фізична особа</v>
      </c>
      <c r="H812" s="1" t="s">
        <v>20</v>
      </c>
      <c r="I812" s="1" t="s">
        <v>20</v>
      </c>
      <c r="J812" s="1" t="str">
        <f t="shared" ref="J812:J843" si="112">"Закрито"</f>
        <v>Закрито</v>
      </c>
      <c r="K812" s="5">
        <v>45604</v>
      </c>
      <c r="L812" s="1" t="s">
        <v>20</v>
      </c>
      <c r="M812" s="1" t="s">
        <v>22</v>
      </c>
      <c r="N812" s="5">
        <v>45604</v>
      </c>
    </row>
    <row r="813" spans="1:14" x14ac:dyDescent="0.3">
      <c r="A813" s="1" t="str">
        <f>"14_954-11/2024/В"</f>
        <v>14_954-11/2024/В</v>
      </c>
      <c r="B813" s="6">
        <v>45602</v>
      </c>
      <c r="C813" s="1" t="str">
        <f>"00038"</f>
        <v>00038</v>
      </c>
      <c r="D81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13" s="1" t="s">
        <v>20</v>
      </c>
      <c r="F8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13" s="1" t="str">
        <f t="shared" si="111"/>
        <v>Фізична особа</v>
      </c>
      <c r="H813" s="1" t="s">
        <v>20</v>
      </c>
      <c r="I813" s="1" t="s">
        <v>20</v>
      </c>
      <c r="J813" s="1" t="str">
        <f t="shared" si="112"/>
        <v>Закрито</v>
      </c>
      <c r="K813" s="5">
        <v>45602</v>
      </c>
      <c r="L813" s="1" t="s">
        <v>20</v>
      </c>
      <c r="M813" s="1" t="s">
        <v>22</v>
      </c>
      <c r="N813" s="5">
        <v>45602</v>
      </c>
    </row>
    <row r="814" spans="1:14" x14ac:dyDescent="0.3">
      <c r="A814" s="1" t="str">
        <f>"6_330/04054323-11/2024/Н"</f>
        <v>6_330/04054323-11/2024/Н</v>
      </c>
      <c r="B814" s="6">
        <v>45602</v>
      </c>
      <c r="C814" s="1" t="str">
        <f>""</f>
        <v/>
      </c>
      <c r="D814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814" s="1" t="str">
        <f>"04054323"</f>
        <v>04054323</v>
      </c>
      <c r="F814" s="1" t="str">
        <f>"Рогатинська міська рада"</f>
        <v>Рогатинська міська рада</v>
      </c>
      <c r="G814" s="1" t="s">
        <v>21</v>
      </c>
      <c r="H814" s="1" t="str">
        <f>"Нагірняк Марія Володимирівна,Нагірняк Марія Володимирівна"</f>
        <v>Нагірняк Марія Володимирівна,Нагірняк Марія Володимирівна</v>
      </c>
      <c r="I814" s="1" t="s">
        <v>20</v>
      </c>
      <c r="J814" s="1" t="str">
        <f t="shared" si="112"/>
        <v>Закрито</v>
      </c>
      <c r="K814" s="5">
        <v>45604</v>
      </c>
      <c r="L814" s="1" t="s">
        <v>20</v>
      </c>
      <c r="M814" s="1" t="s">
        <v>22</v>
      </c>
      <c r="N814" s="5">
        <v>45604</v>
      </c>
    </row>
    <row r="815" spans="1:14" x14ac:dyDescent="0.3">
      <c r="A815" s="1" t="str">
        <f>"14_955-11/2024/В"</f>
        <v>14_955-11/2024/В</v>
      </c>
      <c r="B815" s="6">
        <v>45602</v>
      </c>
      <c r="C815" s="1" t="str">
        <f>"00038"</f>
        <v>00038</v>
      </c>
      <c r="D81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15" s="1" t="s">
        <v>20</v>
      </c>
      <c r="F815" s="1" t="str">
        <f t="shared" ref="F815:F828" si="113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15" s="1" t="str">
        <f t="shared" ref="G815:G826" si="114">"Фізична особа"</f>
        <v>Фізична особа</v>
      </c>
      <c r="H815" s="1" t="s">
        <v>20</v>
      </c>
      <c r="I815" s="1" t="s">
        <v>20</v>
      </c>
      <c r="J815" s="1" t="str">
        <f t="shared" si="112"/>
        <v>Закрито</v>
      </c>
      <c r="K815" s="5">
        <v>45602</v>
      </c>
      <c r="L815" s="1" t="s">
        <v>20</v>
      </c>
      <c r="M815" s="1" t="s">
        <v>22</v>
      </c>
      <c r="N815" s="5">
        <v>45602</v>
      </c>
    </row>
    <row r="816" spans="1:14" x14ac:dyDescent="0.3">
      <c r="A816" s="1" t="str">
        <f>"14_956-11/2024/В"</f>
        <v>14_956-11/2024/В</v>
      </c>
      <c r="B816" s="6">
        <v>45602</v>
      </c>
      <c r="C816" s="1" t="str">
        <f>"00038"</f>
        <v>00038</v>
      </c>
      <c r="D81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16" s="1" t="s">
        <v>20</v>
      </c>
      <c r="F816" s="1" t="str">
        <f t="shared" si="113"/>
        <v>Центр надання адміністративних послуг Рогатинської міської ради</v>
      </c>
      <c r="G816" s="1" t="str">
        <f t="shared" si="114"/>
        <v>Фізична особа</v>
      </c>
      <c r="H816" s="1" t="s">
        <v>20</v>
      </c>
      <c r="I816" s="1" t="s">
        <v>20</v>
      </c>
      <c r="J816" s="1" t="str">
        <f t="shared" si="112"/>
        <v>Закрито</v>
      </c>
      <c r="K816" s="5">
        <v>45602</v>
      </c>
      <c r="L816" s="1" t="s">
        <v>20</v>
      </c>
      <c r="M816" s="1" t="s">
        <v>22</v>
      </c>
      <c r="N816" s="5">
        <v>45602</v>
      </c>
    </row>
    <row r="817" spans="1:14" x14ac:dyDescent="0.3">
      <c r="A817" s="1" t="str">
        <f>"5_475-11/2024/Т"</f>
        <v>5_475-11/2024/Т</v>
      </c>
      <c r="B817" s="6">
        <v>45602</v>
      </c>
      <c r="C817" s="1" t="str">
        <f>"00038"</f>
        <v>00038</v>
      </c>
      <c r="D81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17" s="1" t="s">
        <v>20</v>
      </c>
      <c r="F817" s="1" t="str">
        <f t="shared" si="113"/>
        <v>Центр надання адміністративних послуг Рогатинської міської ради</v>
      </c>
      <c r="G817" s="1" t="str">
        <f t="shared" si="114"/>
        <v>Фізична особа</v>
      </c>
      <c r="H817" s="1" t="s">
        <v>20</v>
      </c>
      <c r="I817" s="1" t="s">
        <v>20</v>
      </c>
      <c r="J817" s="1" t="str">
        <f t="shared" si="112"/>
        <v>Закрито</v>
      </c>
      <c r="K817" s="5">
        <v>45602</v>
      </c>
      <c r="L817" s="1" t="s">
        <v>20</v>
      </c>
      <c r="M817" s="1" t="s">
        <v>22</v>
      </c>
      <c r="N817" s="5">
        <v>45602</v>
      </c>
    </row>
    <row r="818" spans="1:14" x14ac:dyDescent="0.3">
      <c r="A818" s="1" t="str">
        <f>"14_957-11/2024/В"</f>
        <v>14_957-11/2024/В</v>
      </c>
      <c r="B818" s="6">
        <v>45602</v>
      </c>
      <c r="C818" s="1" t="str">
        <f>"00038"</f>
        <v>00038</v>
      </c>
      <c r="D81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18" s="1" t="s">
        <v>20</v>
      </c>
      <c r="F818" s="1" t="str">
        <f t="shared" si="113"/>
        <v>Центр надання адміністративних послуг Рогатинської міської ради</v>
      </c>
      <c r="G818" s="1" t="str">
        <f t="shared" si="114"/>
        <v>Фізична особа</v>
      </c>
      <c r="H818" s="1" t="s">
        <v>20</v>
      </c>
      <c r="I818" s="1" t="s">
        <v>20</v>
      </c>
      <c r="J818" s="1" t="str">
        <f t="shared" si="112"/>
        <v>Закрито</v>
      </c>
      <c r="K818" s="5">
        <v>45602</v>
      </c>
      <c r="L818" s="1" t="s">
        <v>20</v>
      </c>
      <c r="M818" s="1" t="s">
        <v>22</v>
      </c>
      <c r="N818" s="5">
        <v>45602</v>
      </c>
    </row>
    <row r="819" spans="1:14" x14ac:dyDescent="0.3">
      <c r="A819" s="1" t="str">
        <f>"27_569-11/2024/Т"</f>
        <v>27_569-11/2024/Т</v>
      </c>
      <c r="B819" s="6">
        <v>45602</v>
      </c>
      <c r="C819" s="1" t="str">
        <f>"00037"</f>
        <v>00037</v>
      </c>
      <c r="D819" s="2" t="str">
        <f>"Зняття з реєстрації місця проживання"</f>
        <v>Зняття з реєстрації місця проживання</v>
      </c>
      <c r="E819" s="1" t="s">
        <v>20</v>
      </c>
      <c r="F819" s="1" t="str">
        <f t="shared" si="113"/>
        <v>Центр надання адміністративних послуг Рогатинської міської ради</v>
      </c>
      <c r="G819" s="1" t="str">
        <f t="shared" si="114"/>
        <v>Фізична особа</v>
      </c>
      <c r="H819" s="1" t="s">
        <v>20</v>
      </c>
      <c r="I819" s="1" t="s">
        <v>20</v>
      </c>
      <c r="J819" s="1" t="str">
        <f t="shared" si="112"/>
        <v>Закрито</v>
      </c>
      <c r="K819" s="5">
        <v>45602</v>
      </c>
      <c r="L819" s="1" t="s">
        <v>20</v>
      </c>
      <c r="M819" s="1" t="s">
        <v>22</v>
      </c>
      <c r="N819" s="5">
        <v>45602</v>
      </c>
    </row>
    <row r="820" spans="1:14" x14ac:dyDescent="0.3">
      <c r="A820" s="1" t="str">
        <f>"27_570-11/2024/Т"</f>
        <v>27_570-11/2024/Т</v>
      </c>
      <c r="B820" s="6">
        <v>45602</v>
      </c>
      <c r="C820" s="1" t="str">
        <f>"00039"</f>
        <v>00039</v>
      </c>
      <c r="D820" s="2" t="str">
        <f>"Видача довідки про зняття з реєстрації місця проживання"</f>
        <v>Видача довідки про зняття з реєстрації місця проживання</v>
      </c>
      <c r="E820" s="1" t="s">
        <v>20</v>
      </c>
      <c r="F820" s="1" t="str">
        <f t="shared" si="113"/>
        <v>Центр надання адміністративних послуг Рогатинської міської ради</v>
      </c>
      <c r="G820" s="1" t="str">
        <f t="shared" si="114"/>
        <v>Фізична особа</v>
      </c>
      <c r="H820" s="1" t="s">
        <v>20</v>
      </c>
      <c r="I820" s="1" t="s">
        <v>20</v>
      </c>
      <c r="J820" s="1" t="str">
        <f t="shared" si="112"/>
        <v>Закрито</v>
      </c>
      <c r="K820" s="5">
        <v>45602</v>
      </c>
      <c r="L820" s="1" t="s">
        <v>20</v>
      </c>
      <c r="M820" s="1" t="s">
        <v>22</v>
      </c>
      <c r="N820" s="5">
        <v>45602</v>
      </c>
    </row>
    <row r="821" spans="1:14" x14ac:dyDescent="0.3">
      <c r="A821" s="1" t="str">
        <f>"12_829-11/2024/Ц"</f>
        <v>12_829-11/2024/Ц</v>
      </c>
      <c r="B821" s="6">
        <v>45602</v>
      </c>
      <c r="C821" s="1" t="str">
        <f>"00037"</f>
        <v>00037</v>
      </c>
      <c r="D821" s="2" t="str">
        <f>"Зняття з реєстрації місця проживання"</f>
        <v>Зняття з реєстрації місця проживання</v>
      </c>
      <c r="E821" s="1" t="s">
        <v>20</v>
      </c>
      <c r="F821" s="1" t="str">
        <f t="shared" si="113"/>
        <v>Центр надання адміністративних послуг Рогатинської міської ради</v>
      </c>
      <c r="G821" s="1" t="str">
        <f t="shared" si="114"/>
        <v>Фізична особа</v>
      </c>
      <c r="H821" s="1" t="s">
        <v>20</v>
      </c>
      <c r="I821" s="1" t="s">
        <v>20</v>
      </c>
      <c r="J821" s="1" t="str">
        <f t="shared" si="112"/>
        <v>Закрито</v>
      </c>
      <c r="K821" s="5">
        <v>45602</v>
      </c>
      <c r="L821" s="1" t="s">
        <v>20</v>
      </c>
      <c r="M821" s="1" t="s">
        <v>22</v>
      </c>
      <c r="N821" s="5">
        <v>45602</v>
      </c>
    </row>
    <row r="822" spans="1:14" x14ac:dyDescent="0.3">
      <c r="A822" s="1" t="str">
        <f>"5_476-11/2024/Г"</f>
        <v>5_476-11/2024/Г</v>
      </c>
      <c r="B822" s="6">
        <v>45602</v>
      </c>
      <c r="C822" s="1" t="str">
        <f>"00038"</f>
        <v>00038</v>
      </c>
      <c r="D82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22" s="1" t="s">
        <v>20</v>
      </c>
      <c r="F822" s="1" t="str">
        <f t="shared" si="113"/>
        <v>Центр надання адміністративних послуг Рогатинської міської ради</v>
      </c>
      <c r="G822" s="1" t="str">
        <f t="shared" si="114"/>
        <v>Фізична особа</v>
      </c>
      <c r="H822" s="1" t="s">
        <v>20</v>
      </c>
      <c r="I822" s="1" t="s">
        <v>20</v>
      </c>
      <c r="J822" s="1" t="str">
        <f t="shared" si="112"/>
        <v>Закрито</v>
      </c>
      <c r="K822" s="5">
        <v>45602</v>
      </c>
      <c r="L822" s="1" t="s">
        <v>20</v>
      </c>
      <c r="M822" s="1" t="s">
        <v>22</v>
      </c>
      <c r="N822" s="5">
        <v>45602</v>
      </c>
    </row>
    <row r="823" spans="1:14" x14ac:dyDescent="0.3">
      <c r="A823" s="1" t="str">
        <f>"27_571-11/2024/С"</f>
        <v>27_571-11/2024/С</v>
      </c>
      <c r="B823" s="6">
        <v>45602</v>
      </c>
      <c r="C823" s="1" t="str">
        <f>"00038"</f>
        <v>00038</v>
      </c>
      <c r="D82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23" s="1" t="s">
        <v>20</v>
      </c>
      <c r="F823" s="1" t="str">
        <f t="shared" si="113"/>
        <v>Центр надання адміністративних послуг Рогатинської міської ради</v>
      </c>
      <c r="G823" s="1" t="str">
        <f t="shared" si="114"/>
        <v>Фізична особа</v>
      </c>
      <c r="H823" s="1" t="s">
        <v>20</v>
      </c>
      <c r="I823" s="1" t="s">
        <v>20</v>
      </c>
      <c r="J823" s="1" t="str">
        <f t="shared" si="112"/>
        <v>Закрито</v>
      </c>
      <c r="K823" s="5">
        <v>45602</v>
      </c>
      <c r="L823" s="1" t="s">
        <v>20</v>
      </c>
      <c r="M823" s="1" t="s">
        <v>22</v>
      </c>
      <c r="N823" s="5">
        <v>45602</v>
      </c>
    </row>
    <row r="824" spans="1:14" x14ac:dyDescent="0.3">
      <c r="A824" s="1" t="str">
        <f>"14_958-11/2024/В"</f>
        <v>14_958-11/2024/В</v>
      </c>
      <c r="B824" s="6">
        <v>45602</v>
      </c>
      <c r="C824" s="1" t="str">
        <f>"00038"</f>
        <v>00038</v>
      </c>
      <c r="D82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24" s="1" t="s">
        <v>20</v>
      </c>
      <c r="F824" s="1" t="str">
        <f t="shared" si="113"/>
        <v>Центр надання адміністративних послуг Рогатинської міської ради</v>
      </c>
      <c r="G824" s="1" t="str">
        <f t="shared" si="114"/>
        <v>Фізична особа</v>
      </c>
      <c r="H824" s="1" t="s">
        <v>20</v>
      </c>
      <c r="I824" s="1" t="s">
        <v>20</v>
      </c>
      <c r="J824" s="1" t="str">
        <f t="shared" si="112"/>
        <v>Закрито</v>
      </c>
      <c r="K824" s="5">
        <v>45602</v>
      </c>
      <c r="L824" s="1" t="s">
        <v>20</v>
      </c>
      <c r="M824" s="1" t="s">
        <v>22</v>
      </c>
      <c r="N824" s="5">
        <v>45602</v>
      </c>
    </row>
    <row r="825" spans="1:14" x14ac:dyDescent="0.3">
      <c r="A825" s="1" t="str">
        <f>"8_524-11/2024/Х"</f>
        <v>8_524-11/2024/Х</v>
      </c>
      <c r="B825" s="6">
        <v>45602</v>
      </c>
      <c r="C825" s="1" t="str">
        <f>"00038"</f>
        <v>00038</v>
      </c>
      <c r="D82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25" s="1" t="s">
        <v>20</v>
      </c>
      <c r="F825" s="1" t="str">
        <f t="shared" si="113"/>
        <v>Центр надання адміністративних послуг Рогатинської міської ради</v>
      </c>
      <c r="G825" s="1" t="str">
        <f t="shared" si="114"/>
        <v>Фізична особа</v>
      </c>
      <c r="H825" s="1" t="s">
        <v>20</v>
      </c>
      <c r="I825" s="1" t="s">
        <v>20</v>
      </c>
      <c r="J825" s="1" t="str">
        <f t="shared" si="112"/>
        <v>Закрито</v>
      </c>
      <c r="K825" s="5">
        <v>45602</v>
      </c>
      <c r="L825" s="1" t="s">
        <v>20</v>
      </c>
      <c r="M825" s="1" t="s">
        <v>22</v>
      </c>
      <c r="N825" s="5">
        <v>45602</v>
      </c>
    </row>
    <row r="826" spans="1:14" x14ac:dyDescent="0.3">
      <c r="A826" s="1" t="str">
        <f>"27_572-11/2024/С"</f>
        <v>27_572-11/2024/С</v>
      </c>
      <c r="B826" s="6">
        <v>45602</v>
      </c>
      <c r="C826" s="1" t="str">
        <f>"00038"</f>
        <v>00038</v>
      </c>
      <c r="D82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26" s="1" t="s">
        <v>20</v>
      </c>
      <c r="F826" s="1" t="str">
        <f t="shared" si="113"/>
        <v>Центр надання адміністративних послуг Рогатинської міської ради</v>
      </c>
      <c r="G826" s="1" t="str">
        <f t="shared" si="114"/>
        <v>Фізична особа</v>
      </c>
      <c r="H826" s="1" t="s">
        <v>20</v>
      </c>
      <c r="I826" s="1" t="s">
        <v>20</v>
      </c>
      <c r="J826" s="1" t="str">
        <f t="shared" si="112"/>
        <v>Закрито</v>
      </c>
      <c r="K826" s="5">
        <v>45602</v>
      </c>
      <c r="L826" s="1" t="s">
        <v>20</v>
      </c>
      <c r="M826" s="1" t="s">
        <v>22</v>
      </c>
      <c r="N826" s="5">
        <v>45602</v>
      </c>
    </row>
    <row r="827" spans="1:14" x14ac:dyDescent="0.3">
      <c r="A827" s="1" t="str">
        <f>"5_477-11/2024/П"</f>
        <v>5_477-11/2024/П</v>
      </c>
      <c r="B827" s="6">
        <v>45602</v>
      </c>
      <c r="C827" s="1" t="str">
        <f>"01298"</f>
        <v>01298</v>
      </c>
      <c r="D827" s="2" t="str">
        <f>"Видача довідки про реєстрацію місця проживання померлого,  у тому числі про поживаючих разом з померлим за однією адресою"</f>
        <v>Видача довідки про реєстрацію місця проживання померлого,  у тому числі про поживаючих разом з померлим за однією адресою</v>
      </c>
      <c r="E827" s="1" t="s">
        <v>20</v>
      </c>
      <c r="F827" s="1" t="str">
        <f t="shared" si="113"/>
        <v>Центр надання адміністративних послуг Рогатинської міської ради</v>
      </c>
      <c r="G827" s="1" t="str">
        <f>"Юридична особа"</f>
        <v>Юридична особа</v>
      </c>
      <c r="H827" s="1" t="str">
        <f>"Приватний нотаріус Дзера Маряна Любомирівна"</f>
        <v>Приватний нотаріус Дзера Маряна Любомирівна</v>
      </c>
      <c r="I827" s="1" t="s">
        <v>20</v>
      </c>
      <c r="J827" s="1" t="str">
        <f t="shared" si="112"/>
        <v>Закрито</v>
      </c>
      <c r="K827" s="5">
        <v>45602</v>
      </c>
      <c r="L827" s="1" t="s">
        <v>20</v>
      </c>
      <c r="M827" s="1" t="s">
        <v>22</v>
      </c>
      <c r="N827" s="5">
        <v>45602</v>
      </c>
    </row>
    <row r="828" spans="1:14" x14ac:dyDescent="0.3">
      <c r="A828" s="1" t="str">
        <f>"27_573-11/2024/П"</f>
        <v>27_573-11/2024/П</v>
      </c>
      <c r="B828" s="6">
        <v>45602</v>
      </c>
      <c r="C828" s="1" t="str">
        <f>"00038"</f>
        <v>00038</v>
      </c>
      <c r="D82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28" s="1" t="s">
        <v>20</v>
      </c>
      <c r="F828" s="1" t="str">
        <f t="shared" si="113"/>
        <v>Центр надання адміністративних послуг Рогатинської міської ради</v>
      </c>
      <c r="G828" s="1" t="str">
        <f t="shared" ref="G828:G846" si="115">"Фізична особа"</f>
        <v>Фізична особа</v>
      </c>
      <c r="H828" s="1" t="s">
        <v>20</v>
      </c>
      <c r="I828" s="1" t="s">
        <v>20</v>
      </c>
      <c r="J828" s="1" t="str">
        <f t="shared" si="112"/>
        <v>Закрито</v>
      </c>
      <c r="K828" s="5">
        <v>45602</v>
      </c>
      <c r="L828" s="1" t="s">
        <v>20</v>
      </c>
      <c r="M828" s="1" t="s">
        <v>22</v>
      </c>
      <c r="N828" s="5">
        <v>45602</v>
      </c>
    </row>
    <row r="829" spans="1:14" x14ac:dyDescent="0.3">
      <c r="A829" s="1" t="str">
        <f>"34_372-11/2024/В"</f>
        <v>34_372-11/2024/В</v>
      </c>
      <c r="B829" s="6">
        <v>45602</v>
      </c>
      <c r="C829" s="1" t="str">
        <f>"00064"</f>
        <v>00064</v>
      </c>
      <c r="D829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829" s="1" t="s">
        <v>20</v>
      </c>
      <c r="F829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829" s="1" t="str">
        <f t="shared" si="115"/>
        <v>Фізична особа</v>
      </c>
      <c r="H829" s="1" t="s">
        <v>20</v>
      </c>
      <c r="I829" s="1" t="s">
        <v>20</v>
      </c>
      <c r="J829" s="1" t="str">
        <f t="shared" si="112"/>
        <v>Закрито</v>
      </c>
      <c r="K829" s="5">
        <v>45602</v>
      </c>
      <c r="L829" s="1" t="s">
        <v>20</v>
      </c>
      <c r="M829" s="1" t="s">
        <v>22</v>
      </c>
      <c r="N829" s="5">
        <v>45602</v>
      </c>
    </row>
    <row r="830" spans="1:14" x14ac:dyDescent="0.3">
      <c r="A830" s="1" t="str">
        <f>"1_5683/2129-11/2024/Г"</f>
        <v>1_5683/2129-11/2024/Г</v>
      </c>
      <c r="B830" s="6">
        <v>45602</v>
      </c>
      <c r="C830" s="1" t="str">
        <f>"00034"</f>
        <v>00034</v>
      </c>
      <c r="D830" s="2" t="str">
        <f>"Реєстрація місця проживання"</f>
        <v>Реєстрація місця проживання</v>
      </c>
      <c r="E830" s="1" t="s">
        <v>20</v>
      </c>
      <c r="F8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30" s="1" t="str">
        <f t="shared" si="115"/>
        <v>Фізична особа</v>
      </c>
      <c r="H830" s="1" t="s">
        <v>20</v>
      </c>
      <c r="I830" s="1" t="s">
        <v>20</v>
      </c>
      <c r="J830" s="1" t="str">
        <f t="shared" si="112"/>
        <v>Закрито</v>
      </c>
      <c r="K830" s="6">
        <v>45602</v>
      </c>
      <c r="L830" s="1" t="s">
        <v>20</v>
      </c>
      <c r="M830" s="1" t="s">
        <v>22</v>
      </c>
      <c r="N830" s="5">
        <v>45602</v>
      </c>
    </row>
    <row r="831" spans="1:14" x14ac:dyDescent="0.3">
      <c r="A831" s="1" t="str">
        <f>"34_373-11/2024/М"</f>
        <v>34_373-11/2024/М</v>
      </c>
      <c r="B831" s="6">
        <v>45602</v>
      </c>
      <c r="C831" s="1" t="str">
        <f>"00064"</f>
        <v>00064</v>
      </c>
      <c r="D831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831" s="1" t="s">
        <v>20</v>
      </c>
      <c r="F831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831" s="1" t="str">
        <f t="shared" si="115"/>
        <v>Фізична особа</v>
      </c>
      <c r="H831" s="1" t="s">
        <v>20</v>
      </c>
      <c r="I831" s="1" t="s">
        <v>20</v>
      </c>
      <c r="J831" s="1" t="str">
        <f t="shared" si="112"/>
        <v>Закрито</v>
      </c>
      <c r="K831" s="5">
        <v>45602</v>
      </c>
      <c r="L831" s="1" t="s">
        <v>20</v>
      </c>
      <c r="M831" s="1" t="s">
        <v>22</v>
      </c>
      <c r="N831" s="5">
        <v>45602</v>
      </c>
    </row>
    <row r="832" spans="1:14" x14ac:dyDescent="0.3">
      <c r="A832" s="1" t="str">
        <f>"12_830-11/2024/Ц"</f>
        <v>12_830-11/2024/Ц</v>
      </c>
      <c r="B832" s="6">
        <v>45602</v>
      </c>
      <c r="C832" s="1" t="str">
        <f>"00038"</f>
        <v>00038</v>
      </c>
      <c r="D83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32" s="1" t="s">
        <v>20</v>
      </c>
      <c r="F8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32" s="1" t="str">
        <f t="shared" si="115"/>
        <v>Фізична особа</v>
      </c>
      <c r="H832" s="1" t="s">
        <v>20</v>
      </c>
      <c r="I832" s="1" t="s">
        <v>20</v>
      </c>
      <c r="J832" s="1" t="str">
        <f t="shared" si="112"/>
        <v>Закрито</v>
      </c>
      <c r="K832" s="5">
        <v>45602</v>
      </c>
      <c r="L832" s="1" t="s">
        <v>20</v>
      </c>
      <c r="M832" s="1" t="s">
        <v>22</v>
      </c>
      <c r="N832" s="5">
        <v>45602</v>
      </c>
    </row>
    <row r="833" spans="1:14" x14ac:dyDescent="0.3">
      <c r="A833" s="1" t="str">
        <f>"12_831-11/2024/Б"</f>
        <v>12_831-11/2024/Б</v>
      </c>
      <c r="B833" s="6">
        <v>45602</v>
      </c>
      <c r="C833" s="1" t="str">
        <f>"00038"</f>
        <v>00038</v>
      </c>
      <c r="D83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33" s="1" t="s">
        <v>20</v>
      </c>
      <c r="F83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33" s="1" t="str">
        <f t="shared" si="115"/>
        <v>Фізична особа</v>
      </c>
      <c r="H833" s="1" t="s">
        <v>20</v>
      </c>
      <c r="I833" s="1" t="s">
        <v>20</v>
      </c>
      <c r="J833" s="1" t="str">
        <f t="shared" si="112"/>
        <v>Закрито</v>
      </c>
      <c r="K833" s="5">
        <v>45602</v>
      </c>
      <c r="L833" s="1" t="s">
        <v>20</v>
      </c>
      <c r="M833" s="1" t="s">
        <v>22</v>
      </c>
      <c r="N833" s="5">
        <v>45602</v>
      </c>
    </row>
    <row r="834" spans="1:14" x14ac:dyDescent="0.3">
      <c r="A834" s="1" t="str">
        <f>"22_526-11/2024/Д"</f>
        <v>22_526-11/2024/Д</v>
      </c>
      <c r="B834" s="6">
        <v>45602</v>
      </c>
      <c r="C834" s="1" t="str">
        <f>"33"</f>
        <v>33</v>
      </c>
      <c r="D834" s="2" t="str">
        <f>"33 Довідки різного характеру"</f>
        <v>33 Довідки різного характеру</v>
      </c>
      <c r="E834" s="1" t="s">
        <v>20</v>
      </c>
      <c r="F8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34" s="1" t="str">
        <f t="shared" si="115"/>
        <v>Фізична особа</v>
      </c>
      <c r="H834" s="1" t="s">
        <v>20</v>
      </c>
      <c r="I834" s="1" t="s">
        <v>20</v>
      </c>
      <c r="J834" s="1" t="str">
        <f t="shared" si="112"/>
        <v>Закрито</v>
      </c>
      <c r="K834" s="5">
        <v>45602</v>
      </c>
      <c r="L834" s="1" t="s">
        <v>20</v>
      </c>
      <c r="M834" s="1" t="s">
        <v>22</v>
      </c>
      <c r="N834" s="5">
        <v>45602</v>
      </c>
    </row>
    <row r="835" spans="1:14" x14ac:dyDescent="0.3">
      <c r="A835" s="1" t="str">
        <f>"12_832-11/2024/Ц"</f>
        <v>12_832-11/2024/Ц</v>
      </c>
      <c r="B835" s="6">
        <v>45602</v>
      </c>
      <c r="C835" s="1" t="str">
        <f>"00155"</f>
        <v>00155</v>
      </c>
      <c r="D835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835" s="1" t="str">
        <f>"03193413"</f>
        <v>03193413</v>
      </c>
      <c r="F83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35" s="1" t="str">
        <f t="shared" si="115"/>
        <v>Фізична особа</v>
      </c>
      <c r="H835" s="1" t="s">
        <v>20</v>
      </c>
      <c r="I835" s="1" t="s">
        <v>20</v>
      </c>
      <c r="J835" s="1" t="str">
        <f t="shared" si="112"/>
        <v>Закрито</v>
      </c>
      <c r="K835" s="5">
        <v>45653</v>
      </c>
      <c r="L835" s="1" t="s">
        <v>20</v>
      </c>
      <c r="M835" s="1" t="s">
        <v>22</v>
      </c>
      <c r="N835" s="5">
        <v>45653</v>
      </c>
    </row>
    <row r="836" spans="1:14" x14ac:dyDescent="0.3">
      <c r="A836" s="1" t="str">
        <f>"20_159-11/2024/С"</f>
        <v>20_159-11/2024/С</v>
      </c>
      <c r="B836" s="6">
        <v>45602</v>
      </c>
      <c r="C836" s="1" t="str">
        <f>"33"</f>
        <v>33</v>
      </c>
      <c r="D836" s="2" t="str">
        <f>"33 Довідки різного характеру"</f>
        <v>33 Довідки різного характеру</v>
      </c>
      <c r="E836" s="1" t="s">
        <v>20</v>
      </c>
      <c r="F83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36" s="1" t="str">
        <f t="shared" si="115"/>
        <v>Фізична особа</v>
      </c>
      <c r="H836" s="1" t="s">
        <v>20</v>
      </c>
      <c r="I836" s="1" t="s">
        <v>20</v>
      </c>
      <c r="J836" s="1" t="str">
        <f t="shared" si="112"/>
        <v>Закрито</v>
      </c>
      <c r="K836" s="5">
        <v>45602</v>
      </c>
      <c r="L836" s="1" t="s">
        <v>20</v>
      </c>
      <c r="M836" s="1" t="s">
        <v>22</v>
      </c>
      <c r="N836" s="5">
        <v>45602</v>
      </c>
    </row>
    <row r="837" spans="1:14" x14ac:dyDescent="0.3">
      <c r="A837" s="1" t="str">
        <f>"12_833-11/2024/Ц"</f>
        <v>12_833-11/2024/Ц</v>
      </c>
      <c r="B837" s="6">
        <v>45602</v>
      </c>
      <c r="C837" s="1" t="str">
        <f>"00133"</f>
        <v>00133</v>
      </c>
      <c r="D837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837" s="1" t="str">
        <f>"03193413"</f>
        <v>03193413</v>
      </c>
      <c r="F83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37" s="1" t="str">
        <f t="shared" si="115"/>
        <v>Фізична особа</v>
      </c>
      <c r="H837" s="1" t="s">
        <v>20</v>
      </c>
      <c r="I837" s="1" t="s">
        <v>20</v>
      </c>
      <c r="J837" s="1" t="str">
        <f t="shared" si="112"/>
        <v>Закрито</v>
      </c>
      <c r="K837" s="5">
        <v>45653</v>
      </c>
      <c r="L837" s="1" t="s">
        <v>20</v>
      </c>
      <c r="M837" s="1" t="s">
        <v>22</v>
      </c>
      <c r="N837" s="5">
        <v>45653</v>
      </c>
    </row>
    <row r="838" spans="1:14" x14ac:dyDescent="0.3">
      <c r="A838" s="1" t="str">
        <f>"1_5684/2129-11/2024/Г"</f>
        <v>1_5684/2129-11/2024/Г</v>
      </c>
      <c r="B838" s="6">
        <v>45602</v>
      </c>
      <c r="C838" s="1" t="str">
        <f>"00038"</f>
        <v>00038</v>
      </c>
      <c r="D83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38" s="1" t="s">
        <v>20</v>
      </c>
      <c r="F83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38" s="1" t="str">
        <f t="shared" si="115"/>
        <v>Фізична особа</v>
      </c>
      <c r="H838" s="1" t="s">
        <v>20</v>
      </c>
      <c r="I838" s="1" t="s">
        <v>20</v>
      </c>
      <c r="J838" s="1" t="str">
        <f t="shared" si="112"/>
        <v>Закрито</v>
      </c>
      <c r="K838" s="6">
        <v>45602</v>
      </c>
      <c r="L838" s="1" t="s">
        <v>20</v>
      </c>
      <c r="M838" s="1" t="s">
        <v>22</v>
      </c>
      <c r="N838" s="5">
        <v>45602</v>
      </c>
    </row>
    <row r="839" spans="1:14" x14ac:dyDescent="0.3">
      <c r="A839" s="1" t="str">
        <f>"1_5685/2129-11/2024/Г"</f>
        <v>1_5685/2129-11/2024/Г</v>
      </c>
      <c r="B839" s="6">
        <v>45602</v>
      </c>
      <c r="C839" s="1" t="str">
        <f>"00038"</f>
        <v>00038</v>
      </c>
      <c r="D83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39" s="1" t="s">
        <v>20</v>
      </c>
      <c r="F83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39" s="1" t="str">
        <f t="shared" si="115"/>
        <v>Фізична особа</v>
      </c>
      <c r="H839" s="1" t="s">
        <v>20</v>
      </c>
      <c r="I839" s="1" t="s">
        <v>20</v>
      </c>
      <c r="J839" s="1" t="str">
        <f t="shared" si="112"/>
        <v>Закрито</v>
      </c>
      <c r="K839" s="6">
        <v>45602</v>
      </c>
      <c r="L839" s="1" t="s">
        <v>20</v>
      </c>
      <c r="M839" s="1" t="s">
        <v>22</v>
      </c>
      <c r="N839" s="5">
        <v>45602</v>
      </c>
    </row>
    <row r="840" spans="1:14" x14ac:dyDescent="0.3">
      <c r="A840" s="1" t="str">
        <f>"12_834-11/2024/Б"</f>
        <v>12_834-11/2024/Б</v>
      </c>
      <c r="B840" s="6">
        <v>45602</v>
      </c>
      <c r="C840" s="1" t="str">
        <f>"00038"</f>
        <v>00038</v>
      </c>
      <c r="D84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40" s="1" t="s">
        <v>20</v>
      </c>
      <c r="F84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40" s="1" t="str">
        <f t="shared" si="115"/>
        <v>Фізична особа</v>
      </c>
      <c r="H840" s="1" t="s">
        <v>20</v>
      </c>
      <c r="I840" s="1" t="s">
        <v>20</v>
      </c>
      <c r="J840" s="1" t="str">
        <f t="shared" si="112"/>
        <v>Закрито</v>
      </c>
      <c r="K840" s="5">
        <v>45602</v>
      </c>
      <c r="L840" s="1" t="s">
        <v>20</v>
      </c>
      <c r="M840" s="1" t="s">
        <v>22</v>
      </c>
      <c r="N840" s="5">
        <v>45602</v>
      </c>
    </row>
    <row r="841" spans="1:14" x14ac:dyDescent="0.3">
      <c r="A841" s="1" t="str">
        <f>"1_5686/2129-11/2024/К"</f>
        <v>1_5686/2129-11/2024/К</v>
      </c>
      <c r="B841" s="6">
        <v>45602</v>
      </c>
      <c r="C841" s="1" t="str">
        <f>"00038"</f>
        <v>00038</v>
      </c>
      <c r="D84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41" s="1" t="s">
        <v>20</v>
      </c>
      <c r="F84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41" s="1" t="str">
        <f t="shared" si="115"/>
        <v>Фізична особа</v>
      </c>
      <c r="H841" s="1" t="s">
        <v>20</v>
      </c>
      <c r="I841" s="1" t="s">
        <v>20</v>
      </c>
      <c r="J841" s="1" t="str">
        <f t="shared" si="112"/>
        <v>Закрито</v>
      </c>
      <c r="K841" s="6">
        <v>45602</v>
      </c>
      <c r="L841" s="1" t="s">
        <v>20</v>
      </c>
      <c r="M841" s="1" t="s">
        <v>22</v>
      </c>
      <c r="N841" s="5">
        <v>45602</v>
      </c>
    </row>
    <row r="842" spans="1:14" x14ac:dyDescent="0.3">
      <c r="A842" s="1" t="str">
        <f>"1_5687/2129-11/2024/Ф"</f>
        <v>1_5687/2129-11/2024/Ф</v>
      </c>
      <c r="B842" s="6">
        <v>45602</v>
      </c>
      <c r="C842" s="1" t="str">
        <f>"00038"</f>
        <v>00038</v>
      </c>
      <c r="D84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42" s="1" t="s">
        <v>20</v>
      </c>
      <c r="F84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42" s="1" t="str">
        <f t="shared" si="115"/>
        <v>Фізична особа</v>
      </c>
      <c r="H842" s="1" t="s">
        <v>20</v>
      </c>
      <c r="I842" s="1" t="s">
        <v>20</v>
      </c>
      <c r="J842" s="1" t="str">
        <f t="shared" si="112"/>
        <v>Закрито</v>
      </c>
      <c r="K842" s="6">
        <v>45602</v>
      </c>
      <c r="L842" s="1" t="s">
        <v>20</v>
      </c>
      <c r="M842" s="1" t="s">
        <v>22</v>
      </c>
      <c r="N842" s="5">
        <v>45602</v>
      </c>
    </row>
    <row r="843" spans="1:14" x14ac:dyDescent="0.3">
      <c r="A843" s="1" t="str">
        <f>"12_835-11/2024/Б"</f>
        <v>12_835-11/2024/Б</v>
      </c>
      <c r="B843" s="6">
        <v>45602</v>
      </c>
      <c r="C843" s="1" t="str">
        <f>"00155"</f>
        <v>00155</v>
      </c>
      <c r="D843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843" s="1" t="str">
        <f>"03193413"</f>
        <v>03193413</v>
      </c>
      <c r="F84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43" s="1" t="str">
        <f t="shared" si="115"/>
        <v>Фізична особа</v>
      </c>
      <c r="H843" s="1" t="s">
        <v>20</v>
      </c>
      <c r="I843" s="1" t="s">
        <v>20</v>
      </c>
      <c r="J843" s="1" t="str">
        <f t="shared" si="112"/>
        <v>Закрито</v>
      </c>
      <c r="K843" s="5">
        <v>45632</v>
      </c>
      <c r="L843" s="1" t="s">
        <v>20</v>
      </c>
      <c r="M843" s="1" t="s">
        <v>22</v>
      </c>
      <c r="N843" s="5">
        <v>45647</v>
      </c>
    </row>
    <row r="844" spans="1:14" x14ac:dyDescent="0.3">
      <c r="A844" s="1" t="str">
        <f>"14_959-11/2024/В"</f>
        <v>14_959-11/2024/В</v>
      </c>
      <c r="B844" s="6">
        <v>45602</v>
      </c>
      <c r="C844" s="1" t="str">
        <f>"00133"</f>
        <v>00133</v>
      </c>
      <c r="D844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844" s="1" t="str">
        <f>"03193413"</f>
        <v>03193413</v>
      </c>
      <c r="F84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44" s="1" t="str">
        <f t="shared" si="115"/>
        <v>Фізична особа</v>
      </c>
      <c r="H844" s="1" t="s">
        <v>20</v>
      </c>
      <c r="I844" s="1" t="s">
        <v>20</v>
      </c>
      <c r="J844" s="1" t="str">
        <f>"На обробці в СНАП"</f>
        <v>На обробці в СНАП</v>
      </c>
      <c r="K844" s="1" t="s">
        <v>20</v>
      </c>
      <c r="L844" s="1" t="s">
        <v>20</v>
      </c>
      <c r="M844" s="1" t="s">
        <v>22</v>
      </c>
      <c r="N844" s="1" t="s">
        <v>20</v>
      </c>
    </row>
    <row r="845" spans="1:14" x14ac:dyDescent="0.3">
      <c r="A845" s="1" t="str">
        <f>"35_501-11/2024/Р"</f>
        <v>35_501-11/2024/Р</v>
      </c>
      <c r="B845" s="6">
        <v>45602</v>
      </c>
      <c r="C845" s="1" t="str">
        <f>"33"</f>
        <v>33</v>
      </c>
      <c r="D845" s="2" t="str">
        <f>"33 Довідки різного характеру"</f>
        <v>33 Довідки різного характеру</v>
      </c>
      <c r="E845" s="1" t="s">
        <v>20</v>
      </c>
      <c r="F84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45" s="1" t="str">
        <f t="shared" si="115"/>
        <v>Фізична особа</v>
      </c>
      <c r="H845" s="1" t="s">
        <v>20</v>
      </c>
      <c r="I845" s="1" t="s">
        <v>20</v>
      </c>
      <c r="J845" s="1" t="str">
        <f>"Закрито"</f>
        <v>Закрито</v>
      </c>
      <c r="K845" s="5">
        <v>45602</v>
      </c>
      <c r="L845" s="1" t="s">
        <v>20</v>
      </c>
      <c r="M845" s="1" t="s">
        <v>22</v>
      </c>
      <c r="N845" s="5">
        <v>45602</v>
      </c>
    </row>
    <row r="846" spans="1:14" x14ac:dyDescent="0.3">
      <c r="A846" s="1" t="str">
        <f>"35_502-11/2024/Р"</f>
        <v>35_502-11/2024/Р</v>
      </c>
      <c r="B846" s="6">
        <v>45602</v>
      </c>
      <c r="C846" s="1" t="str">
        <f>"00244"</f>
        <v>00244</v>
      </c>
      <c r="D846" s="2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846" s="1" t="str">
        <f>"04054323"</f>
        <v>04054323</v>
      </c>
      <c r="F846" s="1" t="str">
        <f>"Рогатинська міська рада"</f>
        <v>Рогатинська міська рада</v>
      </c>
      <c r="G846" s="1" t="str">
        <f t="shared" si="115"/>
        <v>Фізична особа</v>
      </c>
      <c r="H846" s="1" t="s">
        <v>20</v>
      </c>
      <c r="I846" s="1" t="s">
        <v>20</v>
      </c>
      <c r="J846" s="1" t="str">
        <f>"Закрито"</f>
        <v>Закрито</v>
      </c>
      <c r="K846" s="5">
        <v>45602</v>
      </c>
      <c r="L846" s="1" t="s">
        <v>20</v>
      </c>
      <c r="M846" s="1" t="s">
        <v>22</v>
      </c>
      <c r="N846" s="5">
        <v>45602</v>
      </c>
    </row>
    <row r="847" spans="1:14" x14ac:dyDescent="0.3">
      <c r="A847" s="1" t="str">
        <f>"9_551-11/2024/Р"</f>
        <v>9_551-11/2024/Р</v>
      </c>
      <c r="B847" s="6">
        <v>45602</v>
      </c>
      <c r="C847" s="1" t="str">
        <f>"33"</f>
        <v>33</v>
      </c>
      <c r="D847" s="2" t="str">
        <f>"33 Довідки різного характеру"</f>
        <v>33 Довідки різного характеру</v>
      </c>
      <c r="E847" s="1" t="s">
        <v>20</v>
      </c>
      <c r="F84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47" s="1" t="str">
        <f>"Юридична особа"</f>
        <v>Юридична особа</v>
      </c>
      <c r="H847" s="1" t="str">
        <f>"Рогатинський районний суд"</f>
        <v>Рогатинський районний суд</v>
      </c>
      <c r="I847" s="1" t="s">
        <v>20</v>
      </c>
      <c r="J847" s="1" t="str">
        <f>"Закрито"</f>
        <v>Закрито</v>
      </c>
      <c r="K847" s="5">
        <v>45602</v>
      </c>
      <c r="L847" s="1" t="s">
        <v>20</v>
      </c>
      <c r="M847" s="1" t="s">
        <v>22</v>
      </c>
      <c r="N847" s="5">
        <v>45602</v>
      </c>
    </row>
    <row r="848" spans="1:14" x14ac:dyDescent="0.3">
      <c r="A848" s="1" t="str">
        <f>"27_574-11/2024/К"</f>
        <v>27_574-11/2024/К</v>
      </c>
      <c r="B848" s="6">
        <v>45602</v>
      </c>
      <c r="C848" s="1" t="str">
        <f>"00037"</f>
        <v>00037</v>
      </c>
      <c r="D848" s="2" t="str">
        <f>"Зняття з реєстрації місця проживання"</f>
        <v>Зняття з реєстрації місця проживання</v>
      </c>
      <c r="E848" s="1" t="s">
        <v>20</v>
      </c>
      <c r="F84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48" s="1" t="str">
        <f>"Фізична особа"</f>
        <v>Фізична особа</v>
      </c>
      <c r="H848" s="1" t="s">
        <v>20</v>
      </c>
      <c r="I848" s="1" t="s">
        <v>20</v>
      </c>
      <c r="J848" s="1" t="str">
        <f>"Закрито"</f>
        <v>Закрито</v>
      </c>
      <c r="K848" s="5">
        <v>45602</v>
      </c>
      <c r="L848" s="1" t="s">
        <v>20</v>
      </c>
      <c r="M848" s="1" t="s">
        <v>22</v>
      </c>
      <c r="N848" s="5">
        <v>45602</v>
      </c>
    </row>
    <row r="849" spans="1:14" x14ac:dyDescent="0.3">
      <c r="A849" s="1" t="str">
        <f>"9_552-11/2024/М"</f>
        <v>9_552-11/2024/М</v>
      </c>
      <c r="B849" s="6">
        <v>45602</v>
      </c>
      <c r="C849" s="1" t="str">
        <f>"00155"</f>
        <v>00155</v>
      </c>
      <c r="D849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849" s="1" t="str">
        <f>"03193413"</f>
        <v>03193413</v>
      </c>
      <c r="F84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49" s="1" t="str">
        <f>"Фізична особа"</f>
        <v>Фізична особа</v>
      </c>
      <c r="H849" s="1" t="s">
        <v>20</v>
      </c>
      <c r="I849" s="1" t="s">
        <v>20</v>
      </c>
      <c r="J849" s="1" t="str">
        <f>"Заявника сповіщено про результат"</f>
        <v>Заявника сповіщено про результат</v>
      </c>
      <c r="K849" s="5">
        <v>45653</v>
      </c>
      <c r="L849" s="1" t="s">
        <v>20</v>
      </c>
      <c r="M849" s="1" t="s">
        <v>22</v>
      </c>
      <c r="N849" s="5">
        <v>45653</v>
      </c>
    </row>
    <row r="850" spans="1:14" x14ac:dyDescent="0.3">
      <c r="A850" s="1" t="str">
        <f>"4_932-11/2024/Д"</f>
        <v>4_932-11/2024/Д</v>
      </c>
      <c r="B850" s="6">
        <v>45602</v>
      </c>
      <c r="C850" s="1" t="str">
        <f>"01495"</f>
        <v>01495</v>
      </c>
      <c r="D850" s="2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850" s="1" t="s">
        <v>20</v>
      </c>
      <c r="F85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50" s="1" t="str">
        <f>"Юридична особа"</f>
        <v>Юридична особа</v>
      </c>
      <c r="H850" s="1" t="str">
        <f>"Державний нотаріус"</f>
        <v>Державний нотаріус</v>
      </c>
      <c r="I850" s="1" t="str">
        <f>"02891931"</f>
        <v>02891931</v>
      </c>
      <c r="J850" s="1" t="str">
        <f>"Закрито"</f>
        <v>Закрито</v>
      </c>
      <c r="K850" s="5">
        <v>45602</v>
      </c>
      <c r="L850" s="1" t="s">
        <v>20</v>
      </c>
      <c r="M850" s="1" t="s">
        <v>22</v>
      </c>
      <c r="N850" s="5">
        <v>45602</v>
      </c>
    </row>
    <row r="851" spans="1:14" x14ac:dyDescent="0.3">
      <c r="A851" s="1" t="str">
        <f>"4_933-11/2024/Г"</f>
        <v>4_933-11/2024/Г</v>
      </c>
      <c r="B851" s="6">
        <v>45602</v>
      </c>
      <c r="C851" s="1" t="str">
        <f>"01297"</f>
        <v>01297</v>
      </c>
      <c r="D851" s="2" t="str">
        <f>"Видача довідок-характеристик на громадян"</f>
        <v>Видача довідок-характеристик на громадян</v>
      </c>
      <c r="E851" s="1" t="s">
        <v>20</v>
      </c>
      <c r="F8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51" s="1" t="str">
        <f>"Юридична особа"</f>
        <v>Юридична особа</v>
      </c>
      <c r="H851" s="1" t="str">
        <f>"Головне управління національної поліції в Івано-Франківській області Івано-Франківське районне управління поліції відділення поліції №4 (м.Рогатин)"</f>
        <v>Головне управління національної поліції в Івано-Франківській області Івано-Франківське районне управління поліції відділення поліції №4 (м.Рогатин)</v>
      </c>
      <c r="I851" s="1" t="s">
        <v>20</v>
      </c>
      <c r="J851" s="1" t="str">
        <f>"Закрито"</f>
        <v>Закрито</v>
      </c>
      <c r="K851" s="5">
        <v>45602</v>
      </c>
      <c r="L851" s="1" t="s">
        <v>20</v>
      </c>
      <c r="M851" s="1" t="s">
        <v>22</v>
      </c>
      <c r="N851" s="5">
        <v>45602</v>
      </c>
    </row>
    <row r="852" spans="1:14" x14ac:dyDescent="0.3">
      <c r="A852" s="1" t="str">
        <f>"4_934-11/2024/Г"</f>
        <v>4_934-11/2024/Г</v>
      </c>
      <c r="B852" s="6">
        <v>45602</v>
      </c>
      <c r="C852" s="1" t="str">
        <f>"00038"</f>
        <v>00038</v>
      </c>
      <c r="D85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52" s="1" t="s">
        <v>20</v>
      </c>
      <c r="F8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52" s="1" t="str">
        <f t="shared" ref="G852:G870" si="116">"Фізична особа"</f>
        <v>Фізична особа</v>
      </c>
      <c r="H852" s="1" t="s">
        <v>20</v>
      </c>
      <c r="I852" s="1" t="s">
        <v>20</v>
      </c>
      <c r="J852" s="1" t="str">
        <f>"Закрито"</f>
        <v>Закрито</v>
      </c>
      <c r="K852" s="5">
        <v>45602</v>
      </c>
      <c r="L852" s="1" t="s">
        <v>20</v>
      </c>
      <c r="M852" s="1" t="s">
        <v>22</v>
      </c>
      <c r="N852" s="5">
        <v>45602</v>
      </c>
    </row>
    <row r="853" spans="1:14" x14ac:dyDescent="0.3">
      <c r="A853" s="1" t="str">
        <f>"4_935-11/2024/Г"</f>
        <v>4_935-11/2024/Г</v>
      </c>
      <c r="B853" s="6">
        <v>45602</v>
      </c>
      <c r="C853" s="1" t="str">
        <f>"33"</f>
        <v>33</v>
      </c>
      <c r="D853" s="2" t="str">
        <f>"33 Довідки різного характеру"</f>
        <v>33 Довідки різного характеру</v>
      </c>
      <c r="E853" s="1" t="s">
        <v>20</v>
      </c>
      <c r="F8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53" s="1" t="str">
        <f t="shared" si="116"/>
        <v>Фізична особа</v>
      </c>
      <c r="H853" s="1" t="s">
        <v>20</v>
      </c>
      <c r="I853" s="1" t="s">
        <v>20</v>
      </c>
      <c r="J853" s="1" t="str">
        <f>"Закрито"</f>
        <v>Закрито</v>
      </c>
      <c r="K853" s="5">
        <v>45602</v>
      </c>
      <c r="L853" s="1" t="s">
        <v>20</v>
      </c>
      <c r="M853" s="1" t="s">
        <v>22</v>
      </c>
      <c r="N853" s="5">
        <v>45602</v>
      </c>
    </row>
    <row r="854" spans="1:14" x14ac:dyDescent="0.3">
      <c r="A854" s="1" t="str">
        <f>"4_936-11/2024/Г"</f>
        <v>4_936-11/2024/Г</v>
      </c>
      <c r="B854" s="6">
        <v>45602</v>
      </c>
      <c r="C854" s="1" t="str">
        <f>"00037"</f>
        <v>00037</v>
      </c>
      <c r="D854" s="2" t="str">
        <f>"Зняття з реєстрації місця проживання"</f>
        <v>Зняття з реєстрації місця проживання</v>
      </c>
      <c r="E854" s="1" t="s">
        <v>20</v>
      </c>
      <c r="F85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54" s="1" t="str">
        <f t="shared" si="116"/>
        <v>Фізична особа</v>
      </c>
      <c r="H854" s="1" t="s">
        <v>20</v>
      </c>
      <c r="I854" s="1" t="s">
        <v>20</v>
      </c>
      <c r="J854" s="1" t="str">
        <f>"Закрито"</f>
        <v>Закрито</v>
      </c>
      <c r="K854" s="5">
        <v>45602</v>
      </c>
      <c r="L854" s="1" t="str">
        <f>"45.42"</f>
        <v>45.42</v>
      </c>
      <c r="M854" s="1" t="s">
        <v>22</v>
      </c>
      <c r="N854" s="5">
        <v>45602</v>
      </c>
    </row>
    <row r="855" spans="1:14" x14ac:dyDescent="0.3">
      <c r="A855" s="1" t="str">
        <f>"4_937-11/2024/Г"</f>
        <v>4_937-11/2024/Г</v>
      </c>
      <c r="B855" s="6">
        <v>45602</v>
      </c>
      <c r="C855" s="1" t="str">
        <f>"00155"</f>
        <v>00155</v>
      </c>
      <c r="D855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855" s="1" t="str">
        <f>"03193413"</f>
        <v>03193413</v>
      </c>
      <c r="F85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55" s="1" t="str">
        <f t="shared" si="116"/>
        <v>Фізична особа</v>
      </c>
      <c r="H855" s="1" t="s">
        <v>20</v>
      </c>
      <c r="I855" s="1" t="s">
        <v>20</v>
      </c>
      <c r="J855" s="1" t="str">
        <f>"Заявника сповіщено про результат"</f>
        <v>Заявника сповіщено про результат</v>
      </c>
      <c r="K855" s="5">
        <v>45612</v>
      </c>
      <c r="L855" s="1" t="s">
        <v>20</v>
      </c>
      <c r="M855" s="1" t="s">
        <v>22</v>
      </c>
      <c r="N855" s="5">
        <v>45632</v>
      </c>
    </row>
    <row r="856" spans="1:14" x14ac:dyDescent="0.3">
      <c r="A856" s="1" t="str">
        <f>"20_160-11/2024/С"</f>
        <v>20_160-11/2024/С</v>
      </c>
      <c r="B856" s="6">
        <v>45602</v>
      </c>
      <c r="C856" s="1" t="str">
        <f>"00133"</f>
        <v>00133</v>
      </c>
      <c r="D856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856" s="1" t="str">
        <f>"03193413"</f>
        <v>03193413</v>
      </c>
      <c r="F85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56" s="1" t="str">
        <f t="shared" si="116"/>
        <v>Фізична особа</v>
      </c>
      <c r="H856" s="1" t="s">
        <v>20</v>
      </c>
      <c r="I856" s="1" t="s">
        <v>20</v>
      </c>
      <c r="J856" s="1" t="str">
        <f t="shared" ref="J856:J877" si="117">"Закрито"</f>
        <v>Закрито</v>
      </c>
      <c r="K856" s="5">
        <v>45612</v>
      </c>
      <c r="L856" s="1" t="s">
        <v>20</v>
      </c>
      <c r="M856" s="1" t="s">
        <v>22</v>
      </c>
      <c r="N856" s="5">
        <v>45612</v>
      </c>
    </row>
    <row r="857" spans="1:14" x14ac:dyDescent="0.3">
      <c r="A857" s="1" t="str">
        <f>"22_527-11/2024/К"</f>
        <v>22_527-11/2024/К</v>
      </c>
      <c r="B857" s="6">
        <v>45602</v>
      </c>
      <c r="C857" s="1" t="str">
        <f>"00155"</f>
        <v>00155</v>
      </c>
      <c r="D857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857" s="1" t="str">
        <f>"03193413"</f>
        <v>03193413</v>
      </c>
      <c r="F85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57" s="1" t="str">
        <f t="shared" si="116"/>
        <v>Фізична особа</v>
      </c>
      <c r="H857" s="1" t="s">
        <v>20</v>
      </c>
      <c r="I857" s="1" t="s">
        <v>20</v>
      </c>
      <c r="J857" s="1" t="str">
        <f t="shared" si="117"/>
        <v>Закрито</v>
      </c>
      <c r="K857" s="1" t="s">
        <v>20</v>
      </c>
      <c r="L857" s="1" t="s">
        <v>20</v>
      </c>
      <c r="M857" s="1" t="s">
        <v>22</v>
      </c>
      <c r="N857" s="1" t="s">
        <v>20</v>
      </c>
    </row>
    <row r="858" spans="1:14" x14ac:dyDescent="0.3">
      <c r="A858" s="1" t="str">
        <f>"8_525-11/2024/П"</f>
        <v>8_525-11/2024/П</v>
      </c>
      <c r="B858" s="6">
        <v>45603</v>
      </c>
      <c r="C858" s="1" t="str">
        <f>"00155"</f>
        <v>00155</v>
      </c>
      <c r="D858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858" s="1" t="str">
        <f>"03193413"</f>
        <v>03193413</v>
      </c>
      <c r="F85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58" s="1" t="str">
        <f t="shared" si="116"/>
        <v>Фізична особа</v>
      </c>
      <c r="H858" s="1" t="s">
        <v>20</v>
      </c>
      <c r="I858" s="1" t="s">
        <v>20</v>
      </c>
      <c r="J858" s="1" t="str">
        <f t="shared" si="117"/>
        <v>Закрито</v>
      </c>
      <c r="K858" s="5">
        <v>45603</v>
      </c>
      <c r="L858" s="1" t="s">
        <v>20</v>
      </c>
      <c r="M858" s="1" t="s">
        <v>22</v>
      </c>
      <c r="N858" s="5">
        <v>45603</v>
      </c>
    </row>
    <row r="859" spans="1:14" x14ac:dyDescent="0.3">
      <c r="A859" s="1" t="str">
        <f>"1_5688/2129-11/2024/М"</f>
        <v>1_5688/2129-11/2024/М</v>
      </c>
      <c r="B859" s="6">
        <v>45603</v>
      </c>
      <c r="C859" s="1" t="str">
        <f>"00038"</f>
        <v>00038</v>
      </c>
      <c r="D85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59" s="1" t="s">
        <v>20</v>
      </c>
      <c r="F8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59" s="1" t="str">
        <f t="shared" si="116"/>
        <v>Фізична особа</v>
      </c>
      <c r="H859" s="1" t="s">
        <v>20</v>
      </c>
      <c r="I859" s="1" t="s">
        <v>20</v>
      </c>
      <c r="J859" s="1" t="str">
        <f t="shared" si="117"/>
        <v>Закрито</v>
      </c>
      <c r="K859" s="6">
        <v>45603</v>
      </c>
      <c r="L859" s="1" t="s">
        <v>20</v>
      </c>
      <c r="M859" s="1" t="s">
        <v>22</v>
      </c>
      <c r="N859" s="5">
        <v>45603</v>
      </c>
    </row>
    <row r="860" spans="1:14" x14ac:dyDescent="0.3">
      <c r="A860" s="1" t="str">
        <f>"8_526-11/2024/М"</f>
        <v>8_526-11/2024/М</v>
      </c>
      <c r="B860" s="6">
        <v>45603</v>
      </c>
      <c r="C860" s="1" t="str">
        <f>"00038"</f>
        <v>00038</v>
      </c>
      <c r="D86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60" s="1" t="s">
        <v>20</v>
      </c>
      <c r="F8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60" s="1" t="str">
        <f t="shared" si="116"/>
        <v>Фізична особа</v>
      </c>
      <c r="H860" s="1" t="s">
        <v>20</v>
      </c>
      <c r="I860" s="1" t="s">
        <v>20</v>
      </c>
      <c r="J860" s="1" t="str">
        <f t="shared" si="117"/>
        <v>Закрито</v>
      </c>
      <c r="K860" s="5">
        <v>45603</v>
      </c>
      <c r="L860" s="1" t="s">
        <v>20</v>
      </c>
      <c r="M860" s="1" t="s">
        <v>22</v>
      </c>
      <c r="N860" s="5">
        <v>45603</v>
      </c>
    </row>
    <row r="861" spans="1:14" x14ac:dyDescent="0.3">
      <c r="A861" s="1" t="str">
        <f>"8_527-11/2024/В"</f>
        <v>8_527-11/2024/В</v>
      </c>
      <c r="B861" s="6">
        <v>45603</v>
      </c>
      <c r="C861" s="1" t="str">
        <f>"00038"</f>
        <v>00038</v>
      </c>
      <c r="D86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61" s="1" t="s">
        <v>20</v>
      </c>
      <c r="F86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61" s="1" t="str">
        <f t="shared" si="116"/>
        <v>Фізична особа</v>
      </c>
      <c r="H861" s="1" t="s">
        <v>20</v>
      </c>
      <c r="I861" s="1" t="s">
        <v>20</v>
      </c>
      <c r="J861" s="1" t="str">
        <f t="shared" si="117"/>
        <v>Закрито</v>
      </c>
      <c r="K861" s="5">
        <v>45603</v>
      </c>
      <c r="L861" s="1" t="s">
        <v>20</v>
      </c>
      <c r="M861" s="1" t="s">
        <v>22</v>
      </c>
      <c r="N861" s="5">
        <v>45603</v>
      </c>
    </row>
    <row r="862" spans="1:14" x14ac:dyDescent="0.3">
      <c r="A862" s="1" t="str">
        <f>"6_331/04054323-11/2024/Н"</f>
        <v>6_331/04054323-11/2024/Н</v>
      </c>
      <c r="B862" s="6">
        <v>45603</v>
      </c>
      <c r="C862" s="1" t="str">
        <f>""</f>
        <v/>
      </c>
      <c r="D862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862" s="1" t="str">
        <f>"04054323"</f>
        <v>04054323</v>
      </c>
      <c r="F862" s="1" t="str">
        <f>"Рогатинська міська рада"</f>
        <v>Рогатинська міська рада</v>
      </c>
      <c r="G862" s="1" t="str">
        <f t="shared" si="116"/>
        <v>Фізична особа</v>
      </c>
      <c r="H862" s="1" t="s">
        <v>20</v>
      </c>
      <c r="I862" s="1" t="s">
        <v>20</v>
      </c>
      <c r="J862" s="1" t="str">
        <f t="shared" si="117"/>
        <v>Закрито</v>
      </c>
      <c r="K862" s="5">
        <v>45608</v>
      </c>
      <c r="L862" s="1" t="s">
        <v>20</v>
      </c>
      <c r="M862" s="1" t="s">
        <v>22</v>
      </c>
      <c r="N862" s="5">
        <v>45608</v>
      </c>
    </row>
    <row r="863" spans="1:14" x14ac:dyDescent="0.3">
      <c r="A863" s="1" t="str">
        <f>"6_332/04054323-11/2024/Я"</f>
        <v>6_332/04054323-11/2024/Я</v>
      </c>
      <c r="B863" s="6">
        <v>45603</v>
      </c>
      <c r="C863" s="1" t="str">
        <f>""</f>
        <v/>
      </c>
      <c r="D863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863" s="1" t="str">
        <f>"04054323"</f>
        <v>04054323</v>
      </c>
      <c r="F863" s="1" t="str">
        <f>"Рогатинська міська рада"</f>
        <v>Рогатинська міська рада</v>
      </c>
      <c r="G863" s="1" t="str">
        <f t="shared" si="116"/>
        <v>Фізична особа</v>
      </c>
      <c r="H863" s="1" t="s">
        <v>20</v>
      </c>
      <c r="I863" s="1" t="s">
        <v>20</v>
      </c>
      <c r="J863" s="1" t="str">
        <f t="shared" si="117"/>
        <v>Закрито</v>
      </c>
      <c r="K863" s="5">
        <v>45608</v>
      </c>
      <c r="L863" s="1" t="s">
        <v>20</v>
      </c>
      <c r="M863" s="1" t="s">
        <v>22</v>
      </c>
      <c r="N863" s="5">
        <v>45608</v>
      </c>
    </row>
    <row r="864" spans="1:14" x14ac:dyDescent="0.3">
      <c r="A864" s="1" t="str">
        <f>"16_657-11/2024/К"</f>
        <v>16_657-11/2024/К</v>
      </c>
      <c r="B864" s="6">
        <v>45603</v>
      </c>
      <c r="C864" s="1" t="str">
        <f>"00155"</f>
        <v>00155</v>
      </c>
      <c r="D864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864" s="1" t="str">
        <f>"03193413"</f>
        <v>03193413</v>
      </c>
      <c r="F86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64" s="1" t="str">
        <f t="shared" si="116"/>
        <v>Фізична особа</v>
      </c>
      <c r="H864" s="1" t="s">
        <v>20</v>
      </c>
      <c r="I864" s="1" t="s">
        <v>20</v>
      </c>
      <c r="J864" s="1" t="str">
        <f t="shared" si="117"/>
        <v>Закрито</v>
      </c>
      <c r="K864" s="5">
        <v>45639</v>
      </c>
      <c r="L864" s="1" t="s">
        <v>20</v>
      </c>
      <c r="M864" s="1" t="s">
        <v>22</v>
      </c>
      <c r="N864" s="5">
        <v>45639</v>
      </c>
    </row>
    <row r="865" spans="1:14" x14ac:dyDescent="0.3">
      <c r="A865" s="1" t="str">
        <f>"8_528-11/2024/М"</f>
        <v>8_528-11/2024/М</v>
      </c>
      <c r="B865" s="6">
        <v>45603</v>
      </c>
      <c r="C865" s="1" t="str">
        <f>"00038"</f>
        <v>00038</v>
      </c>
      <c r="D86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65" s="1" t="s">
        <v>20</v>
      </c>
      <c r="F86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65" s="1" t="str">
        <f t="shared" si="116"/>
        <v>Фізична особа</v>
      </c>
      <c r="H865" s="1" t="s">
        <v>20</v>
      </c>
      <c r="I865" s="1" t="s">
        <v>20</v>
      </c>
      <c r="J865" s="1" t="str">
        <f t="shared" si="117"/>
        <v>Закрито</v>
      </c>
      <c r="K865" s="5">
        <v>45603</v>
      </c>
      <c r="L865" s="1" t="s">
        <v>20</v>
      </c>
      <c r="M865" s="1" t="s">
        <v>22</v>
      </c>
      <c r="N865" s="5">
        <v>45603</v>
      </c>
    </row>
    <row r="866" spans="1:14" x14ac:dyDescent="0.3">
      <c r="A866" s="1" t="str">
        <f>"6_333/04054323-11/2024/З"</f>
        <v>6_333/04054323-11/2024/З</v>
      </c>
      <c r="B866" s="6">
        <v>45603</v>
      </c>
      <c r="C866" s="1" t="str">
        <f>""</f>
        <v/>
      </c>
      <c r="D866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866" s="1" t="str">
        <f>"04054323"</f>
        <v>04054323</v>
      </c>
      <c r="F866" s="1" t="str">
        <f>"Рогатинська міська рада"</f>
        <v>Рогатинська міська рада</v>
      </c>
      <c r="G866" s="1" t="str">
        <f t="shared" si="116"/>
        <v>Фізична особа</v>
      </c>
      <c r="H866" s="1" t="s">
        <v>20</v>
      </c>
      <c r="I866" s="1" t="s">
        <v>20</v>
      </c>
      <c r="J866" s="1" t="str">
        <f t="shared" si="117"/>
        <v>Закрито</v>
      </c>
      <c r="K866" s="5">
        <v>45608</v>
      </c>
      <c r="L866" s="1" t="s">
        <v>20</v>
      </c>
      <c r="M866" s="1" t="s">
        <v>22</v>
      </c>
      <c r="N866" s="5">
        <v>45608</v>
      </c>
    </row>
    <row r="867" spans="1:14" x14ac:dyDescent="0.3">
      <c r="A867" s="1" t="str">
        <f>"3_1335/04054323-11/2024/К"</f>
        <v>3_1335/04054323-11/2024/К</v>
      </c>
      <c r="B867" s="6">
        <v>45603</v>
      </c>
      <c r="C867" s="1" t="str">
        <f>"01330"</f>
        <v>01330</v>
      </c>
      <c r="D867" s="2" t="str">
        <f>"Надання кадастрової довідки з містобудівного кадастру"</f>
        <v>Надання кадастрової довідки з містобудівного кадастру</v>
      </c>
      <c r="E867" s="1" t="str">
        <f>"04054323"</f>
        <v>04054323</v>
      </c>
      <c r="F867" s="1" t="str">
        <f>"Рогатинська міська рада"</f>
        <v>Рогатинська міська рада</v>
      </c>
      <c r="G867" s="1" t="str">
        <f t="shared" si="116"/>
        <v>Фізична особа</v>
      </c>
      <c r="H867" s="1" t="s">
        <v>20</v>
      </c>
      <c r="I867" s="1" t="s">
        <v>20</v>
      </c>
      <c r="J867" s="1" t="str">
        <f t="shared" si="117"/>
        <v>Закрито</v>
      </c>
      <c r="K867" s="5">
        <v>45603</v>
      </c>
      <c r="L867" s="1" t="s">
        <v>20</v>
      </c>
      <c r="M867" s="1" t="s">
        <v>22</v>
      </c>
      <c r="N867" s="5">
        <v>45603</v>
      </c>
    </row>
    <row r="868" spans="1:14" x14ac:dyDescent="0.3">
      <c r="A868" s="1" t="str">
        <f>"6_334/04054323-11/2024/Я"</f>
        <v>6_334/04054323-11/2024/Я</v>
      </c>
      <c r="B868" s="6">
        <v>45603</v>
      </c>
      <c r="C868" s="1" t="str">
        <f>""</f>
        <v/>
      </c>
      <c r="D868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868" s="1" t="str">
        <f>"04054323"</f>
        <v>04054323</v>
      </c>
      <c r="F868" s="1" t="str">
        <f>"Рогатинська міська рада"</f>
        <v>Рогатинська міська рада</v>
      </c>
      <c r="G868" s="1" t="str">
        <f t="shared" si="116"/>
        <v>Фізична особа</v>
      </c>
      <c r="H868" s="1" t="s">
        <v>20</v>
      </c>
      <c r="I868" s="1" t="s">
        <v>20</v>
      </c>
      <c r="J868" s="1" t="str">
        <f t="shared" si="117"/>
        <v>Закрито</v>
      </c>
      <c r="K868" s="5">
        <v>45608</v>
      </c>
      <c r="L868" s="1" t="s">
        <v>20</v>
      </c>
      <c r="M868" s="1" t="s">
        <v>22</v>
      </c>
      <c r="N868" s="5">
        <v>45608</v>
      </c>
    </row>
    <row r="869" spans="1:14" x14ac:dyDescent="0.3">
      <c r="A869" s="1" t="str">
        <f>"24_326-11/2024/Г"</f>
        <v>24_326-11/2024/Г</v>
      </c>
      <c r="B869" s="6">
        <v>45603</v>
      </c>
      <c r="C869" s="1" t="str">
        <f>"01841"</f>
        <v>01841</v>
      </c>
      <c r="D869" s="2" t="str">
        <f>"Видача довідки про реєстрацію та проживання особи станом на 15.04.1991 року"</f>
        <v>Видача довідки про реєстрацію та проживання особи станом на 15.04.1991 року</v>
      </c>
      <c r="E869" s="1" t="s">
        <v>20</v>
      </c>
      <c r="F86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69" s="1" t="str">
        <f t="shared" si="116"/>
        <v>Фізична особа</v>
      </c>
      <c r="H869" s="1" t="s">
        <v>20</v>
      </c>
      <c r="I869" s="1" t="s">
        <v>20</v>
      </c>
      <c r="J869" s="1" t="str">
        <f t="shared" si="117"/>
        <v>Закрито</v>
      </c>
      <c r="K869" s="5">
        <v>45603</v>
      </c>
      <c r="L869" s="1" t="s">
        <v>20</v>
      </c>
      <c r="M869" s="1" t="s">
        <v>22</v>
      </c>
      <c r="N869" s="5">
        <v>45603</v>
      </c>
    </row>
    <row r="870" spans="1:14" x14ac:dyDescent="0.3">
      <c r="A870" s="1" t="str">
        <f>"6_335/04054323-11/2024/Б"</f>
        <v>6_335/04054323-11/2024/Б</v>
      </c>
      <c r="B870" s="6">
        <v>45603</v>
      </c>
      <c r="C870" s="1" t="str">
        <f>""</f>
        <v/>
      </c>
      <c r="D870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870" s="1" t="str">
        <f>"04054323"</f>
        <v>04054323</v>
      </c>
      <c r="F870" s="1" t="str">
        <f>"Рогатинська міська рада"</f>
        <v>Рогатинська міська рада</v>
      </c>
      <c r="G870" s="1" t="str">
        <f t="shared" si="116"/>
        <v>Фізична особа</v>
      </c>
      <c r="H870" s="1" t="s">
        <v>20</v>
      </c>
      <c r="I870" s="1" t="s">
        <v>20</v>
      </c>
      <c r="J870" s="1" t="str">
        <f t="shared" si="117"/>
        <v>Закрито</v>
      </c>
      <c r="K870" s="5">
        <v>45608</v>
      </c>
      <c r="L870" s="1" t="s">
        <v>20</v>
      </c>
      <c r="M870" s="1" t="s">
        <v>22</v>
      </c>
      <c r="N870" s="5">
        <v>45608</v>
      </c>
    </row>
    <row r="871" spans="1:14" x14ac:dyDescent="0.3">
      <c r="A871" s="1" t="str">
        <f>"6_336/04054323-11/2024/Т"</f>
        <v>6_336/04054323-11/2024/Т</v>
      </c>
      <c r="B871" s="6">
        <v>45603</v>
      </c>
      <c r="C871" s="1" t="str">
        <f>""</f>
        <v/>
      </c>
      <c r="D871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871" s="1" t="str">
        <f>"04054323"</f>
        <v>04054323</v>
      </c>
      <c r="F871" s="1" t="str">
        <f>"Рогатинська міська рада"</f>
        <v>Рогатинська міська рада</v>
      </c>
      <c r="G871" s="1" t="str">
        <f>"Юридична особа"</f>
        <v>Юридична особа</v>
      </c>
      <c r="H871" s="1" t="str">
        <f>"ТЗОВ ""Агрофірма Путятинці"""</f>
        <v>ТЗОВ "Агрофірма Путятинці"</v>
      </c>
      <c r="I871" s="1" t="str">
        <f>"32017675"</f>
        <v>32017675</v>
      </c>
      <c r="J871" s="1" t="str">
        <f t="shared" si="117"/>
        <v>Закрито</v>
      </c>
      <c r="K871" s="5">
        <v>45608</v>
      </c>
      <c r="L871" s="1" t="s">
        <v>20</v>
      </c>
      <c r="M871" s="1" t="s">
        <v>22</v>
      </c>
      <c r="N871" s="5">
        <v>45608</v>
      </c>
    </row>
    <row r="872" spans="1:14" x14ac:dyDescent="0.3">
      <c r="A872" s="1" t="str">
        <f>"5_478-11/2024/Ж"</f>
        <v>5_478-11/2024/Ж</v>
      </c>
      <c r="B872" s="6">
        <v>45603</v>
      </c>
      <c r="C872" s="1" t="str">
        <f>"00038"</f>
        <v>00038</v>
      </c>
      <c r="D87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72" s="1" t="s">
        <v>20</v>
      </c>
      <c r="F87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72" s="1" t="str">
        <f>"Фізична особа"</f>
        <v>Фізична особа</v>
      </c>
      <c r="H872" s="1" t="s">
        <v>20</v>
      </c>
      <c r="I872" s="1" t="s">
        <v>20</v>
      </c>
      <c r="J872" s="1" t="str">
        <f t="shared" si="117"/>
        <v>Закрито</v>
      </c>
      <c r="K872" s="5">
        <v>45603</v>
      </c>
      <c r="L872" s="1" t="s">
        <v>20</v>
      </c>
      <c r="M872" s="1" t="s">
        <v>22</v>
      </c>
      <c r="N872" s="5">
        <v>45603</v>
      </c>
    </row>
    <row r="873" spans="1:14" x14ac:dyDescent="0.3">
      <c r="A873" s="1" t="str">
        <f>"5_479-11/2024/Ж"</f>
        <v>5_479-11/2024/Ж</v>
      </c>
      <c r="B873" s="6">
        <v>45603</v>
      </c>
      <c r="C873" s="1" t="str">
        <f>"00038"</f>
        <v>00038</v>
      </c>
      <c r="D87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73" s="1" t="s">
        <v>20</v>
      </c>
      <c r="F87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73" s="1" t="str">
        <f>"Фізична особа"</f>
        <v>Фізична особа</v>
      </c>
      <c r="H873" s="1" t="s">
        <v>20</v>
      </c>
      <c r="I873" s="1" t="s">
        <v>20</v>
      </c>
      <c r="J873" s="1" t="str">
        <f t="shared" si="117"/>
        <v>Закрито</v>
      </c>
      <c r="K873" s="5">
        <v>45603</v>
      </c>
      <c r="L873" s="1" t="s">
        <v>20</v>
      </c>
      <c r="M873" s="1" t="s">
        <v>22</v>
      </c>
      <c r="N873" s="5">
        <v>45603</v>
      </c>
    </row>
    <row r="874" spans="1:14" x14ac:dyDescent="0.3">
      <c r="A874" s="1" t="str">
        <f>"9_1605/04054323-11/2024/П"</f>
        <v>9_1605/04054323-11/2024/П</v>
      </c>
      <c r="B874" s="6">
        <v>45603</v>
      </c>
      <c r="C874" s="1" t="str">
        <f>"01-1"</f>
        <v>01-1</v>
      </c>
      <c r="D874" s="2" t="s">
        <v>0</v>
      </c>
      <c r="E874" s="1" t="str">
        <f>"04054323"</f>
        <v>04054323</v>
      </c>
      <c r="F874" s="1" t="str">
        <f>"Рогатинська міська рада"</f>
        <v>Рогатинська міська рада</v>
      </c>
      <c r="G874" s="1" t="s">
        <v>21</v>
      </c>
      <c r="H874" s="1" t="s">
        <v>20</v>
      </c>
      <c r="I874" s="1" t="s">
        <v>20</v>
      </c>
      <c r="J874" s="1" t="str">
        <f t="shared" si="117"/>
        <v>Закрито</v>
      </c>
      <c r="K874" s="5">
        <v>45637</v>
      </c>
      <c r="L874" s="1" t="s">
        <v>20</v>
      </c>
      <c r="M874" s="1" t="s">
        <v>22</v>
      </c>
      <c r="N874" s="5">
        <v>45637</v>
      </c>
    </row>
    <row r="875" spans="1:14" x14ac:dyDescent="0.3">
      <c r="A875" s="1" t="str">
        <f>"35_503-11/2024/У"</f>
        <v>35_503-11/2024/У</v>
      </c>
      <c r="B875" s="6">
        <v>45603</v>
      </c>
      <c r="C875" s="1" t="str">
        <f>"00037"</f>
        <v>00037</v>
      </c>
      <c r="D875" s="2" t="str">
        <f>"Зняття з реєстрації місця проживання"</f>
        <v>Зняття з реєстрації місця проживання</v>
      </c>
      <c r="E875" s="1" t="s">
        <v>20</v>
      </c>
      <c r="F8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75" s="1" t="str">
        <f>"Юридична особа"</f>
        <v>Юридична особа</v>
      </c>
      <c r="H875" s="1" t="str">
        <f>"УДМС в Івано-Франківській обл"</f>
        <v>УДМС в Івано-Франківській обл</v>
      </c>
      <c r="I875" s="1" t="s">
        <v>20</v>
      </c>
      <c r="J875" s="1" t="str">
        <f t="shared" si="117"/>
        <v>Закрито</v>
      </c>
      <c r="K875" s="5">
        <v>45603</v>
      </c>
      <c r="L875" s="1" t="s">
        <v>20</v>
      </c>
      <c r="M875" s="1" t="s">
        <v>22</v>
      </c>
      <c r="N875" s="5">
        <v>45603</v>
      </c>
    </row>
    <row r="876" spans="1:14" x14ac:dyDescent="0.3">
      <c r="A876" s="1" t="str">
        <f>"6_337/04054323-11/2024/Т"</f>
        <v>6_337/04054323-11/2024/Т</v>
      </c>
      <c r="B876" s="6">
        <v>45603</v>
      </c>
      <c r="C876" s="1" t="str">
        <f>""</f>
        <v/>
      </c>
      <c r="D876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876" s="1" t="str">
        <f>"04054323"</f>
        <v>04054323</v>
      </c>
      <c r="F876" s="1" t="str">
        <f>"Рогатинська міська рада"</f>
        <v>Рогатинська міська рада</v>
      </c>
      <c r="G876" s="1" t="str">
        <f>"Юридична особа"</f>
        <v>Юридична особа</v>
      </c>
      <c r="H876" s="1" t="str">
        <f>"ТзОВ ""ЕКОЛОГ"""</f>
        <v>ТзОВ "ЕКОЛОГ"</v>
      </c>
      <c r="I876" s="1" t="str">
        <f>"19389584"</f>
        <v>19389584</v>
      </c>
      <c r="J876" s="1" t="str">
        <f t="shared" si="117"/>
        <v>Закрито</v>
      </c>
      <c r="K876" s="5">
        <v>45608</v>
      </c>
      <c r="L876" s="1" t="s">
        <v>20</v>
      </c>
      <c r="M876" s="1" t="s">
        <v>22</v>
      </c>
      <c r="N876" s="5">
        <v>45608</v>
      </c>
    </row>
    <row r="877" spans="1:14" x14ac:dyDescent="0.3">
      <c r="A877" s="1" t="str">
        <f>"10_120-11/2024/В"</f>
        <v>10_120-11/2024/В</v>
      </c>
      <c r="B877" s="6">
        <v>45603</v>
      </c>
      <c r="C877" s="1" t="str">
        <f>"00038"</f>
        <v>00038</v>
      </c>
      <c r="D87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77" s="1" t="s">
        <v>20</v>
      </c>
      <c r="F87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77" s="1" t="str">
        <f>"Фізична особа"</f>
        <v>Фізична особа</v>
      </c>
      <c r="H877" s="1" t="s">
        <v>20</v>
      </c>
      <c r="I877" s="1" t="s">
        <v>20</v>
      </c>
      <c r="J877" s="1" t="str">
        <f t="shared" si="117"/>
        <v>Закрито</v>
      </c>
      <c r="K877" s="5">
        <v>45603</v>
      </c>
      <c r="L877" s="1" t="s">
        <v>20</v>
      </c>
      <c r="M877" s="1" t="s">
        <v>22</v>
      </c>
      <c r="N877" s="5">
        <v>45603</v>
      </c>
    </row>
    <row r="878" spans="1:14" x14ac:dyDescent="0.3">
      <c r="A878" s="1" t="str">
        <f>"27_575-11/2024/М"</f>
        <v>27_575-11/2024/М</v>
      </c>
      <c r="B878" s="6">
        <v>45603</v>
      </c>
      <c r="C878" s="1" t="str">
        <f>"00155"</f>
        <v>00155</v>
      </c>
      <c r="D878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878" s="1" t="str">
        <f>"03193413"</f>
        <v>03193413</v>
      </c>
      <c r="F87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78" s="1" t="str">
        <f>"Фізична особа"</f>
        <v>Фізична особа</v>
      </c>
      <c r="H878" s="1" t="s">
        <v>20</v>
      </c>
      <c r="I878" s="1" t="s">
        <v>20</v>
      </c>
      <c r="J878" s="1" t="str">
        <f>"На обробці в СНАП"</f>
        <v>На обробці в СНАП</v>
      </c>
      <c r="K878" s="1" t="s">
        <v>20</v>
      </c>
      <c r="L878" s="1" t="s">
        <v>20</v>
      </c>
      <c r="M878" s="1" t="s">
        <v>22</v>
      </c>
      <c r="N878" s="1" t="s">
        <v>20</v>
      </c>
    </row>
    <row r="879" spans="1:14" x14ac:dyDescent="0.3">
      <c r="A879" s="1" t="str">
        <f>"24_327-11/2024/М"</f>
        <v>24_327-11/2024/М</v>
      </c>
      <c r="B879" s="6">
        <v>45603</v>
      </c>
      <c r="C879" s="1" t="str">
        <f>"01495"</f>
        <v>01495</v>
      </c>
      <c r="D879" s="2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879" s="1" t="s">
        <v>20</v>
      </c>
      <c r="F87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79" s="1" t="str">
        <f>"Фізична особа"</f>
        <v>Фізична особа</v>
      </c>
      <c r="H879" s="1" t="s">
        <v>20</v>
      </c>
      <c r="I879" s="1" t="s">
        <v>20</v>
      </c>
      <c r="J879" s="1" t="str">
        <f t="shared" ref="J879:J887" si="118">"Закрито"</f>
        <v>Закрито</v>
      </c>
      <c r="K879" s="5">
        <v>45603</v>
      </c>
      <c r="L879" s="1" t="s">
        <v>20</v>
      </c>
      <c r="M879" s="1" t="s">
        <v>22</v>
      </c>
      <c r="N879" s="5">
        <v>45603</v>
      </c>
    </row>
    <row r="880" spans="1:14" x14ac:dyDescent="0.3">
      <c r="A880" s="1" t="str">
        <f>"15_330-11/2024/Р"</f>
        <v>15_330-11/2024/Р</v>
      </c>
      <c r="B880" s="6">
        <v>45603</v>
      </c>
      <c r="C880" s="1" t="str">
        <f>"02022"</f>
        <v>02022</v>
      </c>
      <c r="D880" s="2" t="str">
        <f>"Видача довідки про членство в особистому селянському господарстві"</f>
        <v>Видача довідки про членство в особистому селянському господарстві</v>
      </c>
      <c r="E880" s="1" t="s">
        <v>20</v>
      </c>
      <c r="F88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80" s="1" t="str">
        <f>"Фізична особа"</f>
        <v>Фізична особа</v>
      </c>
      <c r="H880" s="1" t="s">
        <v>20</v>
      </c>
      <c r="I880" s="1" t="s">
        <v>20</v>
      </c>
      <c r="J880" s="1" t="str">
        <f t="shared" si="118"/>
        <v>Закрито</v>
      </c>
      <c r="K880" s="5">
        <v>45603</v>
      </c>
      <c r="L880" s="1" t="s">
        <v>20</v>
      </c>
      <c r="M880" s="1" t="s">
        <v>22</v>
      </c>
      <c r="N880" s="5">
        <v>45603</v>
      </c>
    </row>
    <row r="881" spans="1:14" x14ac:dyDescent="0.3">
      <c r="A881" s="1" t="str">
        <f>"3_831-11/2024/В"</f>
        <v>3_831-11/2024/В</v>
      </c>
      <c r="B881" s="6">
        <v>45603</v>
      </c>
      <c r="C881" s="1" t="str">
        <f>"33"</f>
        <v>33</v>
      </c>
      <c r="D881" s="2" t="str">
        <f>"33 Довідки різного характеру"</f>
        <v>33 Довідки різного характеру</v>
      </c>
      <c r="E881" s="1" t="s">
        <v>20</v>
      </c>
      <c r="F8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81" s="1" t="str">
        <f>"Фізична особа"</f>
        <v>Фізична особа</v>
      </c>
      <c r="H881" s="1" t="s">
        <v>20</v>
      </c>
      <c r="I881" s="1" t="s">
        <v>20</v>
      </c>
      <c r="J881" s="1" t="str">
        <f t="shared" si="118"/>
        <v>Закрито</v>
      </c>
      <c r="K881" s="5">
        <v>45603</v>
      </c>
      <c r="L881" s="1" t="s">
        <v>20</v>
      </c>
      <c r="M881" s="1" t="s">
        <v>22</v>
      </c>
      <c r="N881" s="5">
        <v>45603</v>
      </c>
    </row>
    <row r="882" spans="1:14" x14ac:dyDescent="0.3">
      <c r="A882" s="1" t="str">
        <f>"27_576-11/2024/К"</f>
        <v>27_576-11/2024/К</v>
      </c>
      <c r="B882" s="6">
        <v>45603</v>
      </c>
      <c r="C882" s="1" t="str">
        <f>"01495"</f>
        <v>01495</v>
      </c>
      <c r="D882" s="2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882" s="1" t="s">
        <v>20</v>
      </c>
      <c r="F88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82" s="1" t="str">
        <f>"Юридична особа"</f>
        <v>Юридична особа</v>
      </c>
      <c r="H882" s="1" t="str">
        <f>"Клід Оксана Ярославівна"</f>
        <v>Клід Оксана Ярославівна</v>
      </c>
      <c r="I882" s="1" t="s">
        <v>20</v>
      </c>
      <c r="J882" s="1" t="str">
        <f t="shared" si="118"/>
        <v>Закрито</v>
      </c>
      <c r="K882" s="5">
        <v>45603</v>
      </c>
      <c r="L882" s="1" t="s">
        <v>20</v>
      </c>
      <c r="M882" s="1" t="s">
        <v>22</v>
      </c>
      <c r="N882" s="5">
        <v>45603</v>
      </c>
    </row>
    <row r="883" spans="1:14" x14ac:dyDescent="0.3">
      <c r="A883" s="1" t="str">
        <f>"30_606-11/2024/Т"</f>
        <v>30_606-11/2024/Т</v>
      </c>
      <c r="B883" s="6">
        <v>45603</v>
      </c>
      <c r="C883" s="1" t="str">
        <f>"00155"</f>
        <v>00155</v>
      </c>
      <c r="D883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883" s="1" t="str">
        <f>"03193413"</f>
        <v>03193413</v>
      </c>
      <c r="F88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83" s="1" t="str">
        <f t="shared" ref="G883:G893" si="119">"Фізична особа"</f>
        <v>Фізична особа</v>
      </c>
      <c r="H883" s="1" t="s">
        <v>20</v>
      </c>
      <c r="I883" s="1" t="s">
        <v>20</v>
      </c>
      <c r="J883" s="1" t="str">
        <f t="shared" si="118"/>
        <v>Закрито</v>
      </c>
      <c r="K883" s="1" t="s">
        <v>20</v>
      </c>
      <c r="L883" s="1" t="s">
        <v>20</v>
      </c>
      <c r="M883" s="1" t="s">
        <v>22</v>
      </c>
      <c r="N883" s="1" t="s">
        <v>20</v>
      </c>
    </row>
    <row r="884" spans="1:14" x14ac:dyDescent="0.3">
      <c r="A884" s="1" t="str">
        <f>"27_577-11/2024/М"</f>
        <v>27_577-11/2024/М</v>
      </c>
      <c r="B884" s="6">
        <v>45603</v>
      </c>
      <c r="C884" s="1" t="str">
        <f>"00038"</f>
        <v>00038</v>
      </c>
      <c r="D88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84" s="1" t="s">
        <v>20</v>
      </c>
      <c r="F88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84" s="1" t="str">
        <f t="shared" si="119"/>
        <v>Фізична особа</v>
      </c>
      <c r="H884" s="1" t="s">
        <v>20</v>
      </c>
      <c r="I884" s="1" t="s">
        <v>20</v>
      </c>
      <c r="J884" s="1" t="str">
        <f t="shared" si="118"/>
        <v>Закрито</v>
      </c>
      <c r="K884" s="5">
        <v>45603</v>
      </c>
      <c r="L884" s="1" t="s">
        <v>20</v>
      </c>
      <c r="M884" s="1" t="s">
        <v>22</v>
      </c>
      <c r="N884" s="5">
        <v>45603</v>
      </c>
    </row>
    <row r="885" spans="1:14" x14ac:dyDescent="0.3">
      <c r="A885" s="1" t="str">
        <f>"29_449-11/2024/С"</f>
        <v>29_449-11/2024/С</v>
      </c>
      <c r="B885" s="6">
        <v>45603</v>
      </c>
      <c r="C885" s="1" t="str">
        <f>"00244"</f>
        <v>00244</v>
      </c>
      <c r="D885" s="2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885" s="1" t="str">
        <f>"04054323"</f>
        <v>04054323</v>
      </c>
      <c r="F885" s="1" t="str">
        <f>"Рогатинська міська рада"</f>
        <v>Рогатинська міська рада</v>
      </c>
      <c r="G885" s="1" t="str">
        <f t="shared" si="119"/>
        <v>Фізична особа</v>
      </c>
      <c r="H885" s="1" t="s">
        <v>20</v>
      </c>
      <c r="I885" s="1" t="s">
        <v>20</v>
      </c>
      <c r="J885" s="1" t="str">
        <f t="shared" si="118"/>
        <v>Закрито</v>
      </c>
      <c r="K885" s="5">
        <v>45603</v>
      </c>
      <c r="L885" s="1" t="s">
        <v>20</v>
      </c>
      <c r="M885" s="1" t="s">
        <v>22</v>
      </c>
      <c r="N885" s="5">
        <v>45603</v>
      </c>
    </row>
    <row r="886" spans="1:14" x14ac:dyDescent="0.3">
      <c r="A886" s="1" t="str">
        <f>"29_450-11/2024/г"</f>
        <v>29_450-11/2024/г</v>
      </c>
      <c r="B886" s="6">
        <v>45603</v>
      </c>
      <c r="C886" s="1" t="str">
        <f>"33"</f>
        <v>33</v>
      </c>
      <c r="D886" s="2" t="str">
        <f>"33 Довідки різного характеру"</f>
        <v>33 Довідки різного характеру</v>
      </c>
      <c r="E886" s="1" t="s">
        <v>20</v>
      </c>
      <c r="F88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86" s="1" t="str">
        <f t="shared" si="119"/>
        <v>Фізична особа</v>
      </c>
      <c r="H886" s="1" t="s">
        <v>20</v>
      </c>
      <c r="I886" s="1" t="s">
        <v>20</v>
      </c>
      <c r="J886" s="1" t="str">
        <f t="shared" si="118"/>
        <v>Закрито</v>
      </c>
      <c r="K886" s="5">
        <v>45603</v>
      </c>
      <c r="L886" s="1" t="s">
        <v>20</v>
      </c>
      <c r="M886" s="1" t="s">
        <v>22</v>
      </c>
      <c r="N886" s="5">
        <v>45603</v>
      </c>
    </row>
    <row r="887" spans="1:14" x14ac:dyDescent="0.3">
      <c r="A887" s="1" t="str">
        <f>"29_451-11/2024/М"</f>
        <v>29_451-11/2024/М</v>
      </c>
      <c r="B887" s="6">
        <v>45603</v>
      </c>
      <c r="C887" s="1" t="str">
        <f>"33"</f>
        <v>33</v>
      </c>
      <c r="D887" s="2" t="str">
        <f>"33 Довідки різного характеру"</f>
        <v>33 Довідки різного характеру</v>
      </c>
      <c r="E887" s="1" t="s">
        <v>20</v>
      </c>
      <c r="F88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87" s="1" t="str">
        <f t="shared" si="119"/>
        <v>Фізична особа</v>
      </c>
      <c r="H887" s="1" t="s">
        <v>20</v>
      </c>
      <c r="I887" s="1" t="s">
        <v>20</v>
      </c>
      <c r="J887" s="1" t="str">
        <f t="shared" si="118"/>
        <v>Закрито</v>
      </c>
      <c r="K887" s="5">
        <v>45603</v>
      </c>
      <c r="L887" s="1" t="s">
        <v>20</v>
      </c>
      <c r="M887" s="1" t="s">
        <v>22</v>
      </c>
      <c r="N887" s="5">
        <v>45603</v>
      </c>
    </row>
    <row r="888" spans="1:14" x14ac:dyDescent="0.3">
      <c r="A888" s="1" t="str">
        <f>"29_452-11/2024/б"</f>
        <v>29_452-11/2024/б</v>
      </c>
      <c r="B888" s="6">
        <v>45603</v>
      </c>
      <c r="C888" s="1" t="str">
        <f>"00155"</f>
        <v>00155</v>
      </c>
      <c r="D888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888" s="1" t="str">
        <f>"03193413"</f>
        <v>03193413</v>
      </c>
      <c r="F88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88" s="1" t="str">
        <f t="shared" si="119"/>
        <v>Фізична особа</v>
      </c>
      <c r="H888" s="1" t="s">
        <v>20</v>
      </c>
      <c r="I888" s="1" t="s">
        <v>20</v>
      </c>
      <c r="J888" s="1" t="str">
        <f>"Результат підготовлено СНАП"</f>
        <v>Результат підготовлено СНАП</v>
      </c>
      <c r="K888" s="5">
        <v>45624</v>
      </c>
      <c r="L888" s="1" t="s">
        <v>20</v>
      </c>
      <c r="M888" s="1" t="s">
        <v>22</v>
      </c>
      <c r="N888" s="1" t="s">
        <v>20</v>
      </c>
    </row>
    <row r="889" spans="1:14" x14ac:dyDescent="0.3">
      <c r="A889" s="1" t="str">
        <f>"29_453-11/2024/д"</f>
        <v>29_453-11/2024/д</v>
      </c>
      <c r="B889" s="6">
        <v>45603</v>
      </c>
      <c r="C889" s="1" t="str">
        <f>"00155"</f>
        <v>00155</v>
      </c>
      <c r="D889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889" s="1" t="str">
        <f>"03193413"</f>
        <v>03193413</v>
      </c>
      <c r="F88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89" s="1" t="str">
        <f t="shared" si="119"/>
        <v>Фізична особа</v>
      </c>
      <c r="H889" s="1" t="s">
        <v>20</v>
      </c>
      <c r="I889" s="1" t="s">
        <v>20</v>
      </c>
      <c r="J889" s="1" t="str">
        <f>"Результат підготовлено СНАП"</f>
        <v>Результат підготовлено СНАП</v>
      </c>
      <c r="K889" s="5">
        <v>45616</v>
      </c>
      <c r="L889" s="1" t="s">
        <v>20</v>
      </c>
      <c r="M889" s="1" t="s">
        <v>22</v>
      </c>
      <c r="N889" s="1" t="s">
        <v>20</v>
      </c>
    </row>
    <row r="890" spans="1:14" x14ac:dyDescent="0.3">
      <c r="A890" s="1" t="str">
        <f>"27_578-11/2024/М"</f>
        <v>27_578-11/2024/М</v>
      </c>
      <c r="B890" s="6">
        <v>45603</v>
      </c>
      <c r="C890" s="1" t="str">
        <f>"00038"</f>
        <v>00038</v>
      </c>
      <c r="D89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90" s="1" t="s">
        <v>20</v>
      </c>
      <c r="F89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90" s="1" t="str">
        <f t="shared" si="119"/>
        <v>Фізична особа</v>
      </c>
      <c r="H890" s="1" t="s">
        <v>20</v>
      </c>
      <c r="I890" s="1" t="s">
        <v>20</v>
      </c>
      <c r="J890" s="1" t="str">
        <f>"Закрито"</f>
        <v>Закрито</v>
      </c>
      <c r="K890" s="5">
        <v>45603</v>
      </c>
      <c r="L890" s="1" t="s">
        <v>20</v>
      </c>
      <c r="M890" s="1" t="s">
        <v>22</v>
      </c>
      <c r="N890" s="5">
        <v>45603</v>
      </c>
    </row>
    <row r="891" spans="1:14" x14ac:dyDescent="0.3">
      <c r="A891" s="1" t="str">
        <f>"29_454-11/2024/С"</f>
        <v>29_454-11/2024/С</v>
      </c>
      <c r="B891" s="6">
        <v>45603</v>
      </c>
      <c r="C891" s="1" t="str">
        <f>"00133"</f>
        <v>00133</v>
      </c>
      <c r="D891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891" s="1" t="str">
        <f>"03193413"</f>
        <v>03193413</v>
      </c>
      <c r="F89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891" s="1" t="str">
        <f t="shared" si="119"/>
        <v>Фізична особа</v>
      </c>
      <c r="H891" s="1" t="s">
        <v>20</v>
      </c>
      <c r="I891" s="1" t="s">
        <v>20</v>
      </c>
      <c r="J891" s="1" t="str">
        <f>"Результат підготовлено СНАП"</f>
        <v>Результат підготовлено СНАП</v>
      </c>
      <c r="K891" s="5">
        <v>45616</v>
      </c>
      <c r="L891" s="1" t="s">
        <v>20</v>
      </c>
      <c r="M891" s="1" t="s">
        <v>22</v>
      </c>
      <c r="N891" s="1" t="s">
        <v>20</v>
      </c>
    </row>
    <row r="892" spans="1:14" x14ac:dyDescent="0.3">
      <c r="A892" s="1" t="str">
        <f>"29_455-11/2024/р"</f>
        <v>29_455-11/2024/р</v>
      </c>
      <c r="B892" s="6">
        <v>45603</v>
      </c>
      <c r="C892" s="1" t="str">
        <f>"33"</f>
        <v>33</v>
      </c>
      <c r="D892" s="2" t="str">
        <f>"33 Довідки різного характеру"</f>
        <v>33 Довідки різного характеру</v>
      </c>
      <c r="E892" s="1" t="s">
        <v>20</v>
      </c>
      <c r="F89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92" s="1" t="str">
        <f t="shared" si="119"/>
        <v>Фізична особа</v>
      </c>
      <c r="H892" s="1" t="s">
        <v>20</v>
      </c>
      <c r="I892" s="1" t="s">
        <v>20</v>
      </c>
      <c r="J892" s="1" t="str">
        <f t="shared" ref="J892:J913" si="120">"Закрито"</f>
        <v>Закрито</v>
      </c>
      <c r="K892" s="5">
        <v>45603</v>
      </c>
      <c r="L892" s="1" t="s">
        <v>20</v>
      </c>
      <c r="M892" s="1" t="s">
        <v>22</v>
      </c>
      <c r="N892" s="5">
        <v>45603</v>
      </c>
    </row>
    <row r="893" spans="1:14" x14ac:dyDescent="0.3">
      <c r="A893" s="1" t="str">
        <f>"27_579-11/2024/М"</f>
        <v>27_579-11/2024/М</v>
      </c>
      <c r="B893" s="6">
        <v>45603</v>
      </c>
      <c r="C893" s="1" t="str">
        <f>"00038"</f>
        <v>00038</v>
      </c>
      <c r="D89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93" s="1" t="s">
        <v>20</v>
      </c>
      <c r="F89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93" s="1" t="str">
        <f t="shared" si="119"/>
        <v>Фізична особа</v>
      </c>
      <c r="H893" s="1" t="s">
        <v>20</v>
      </c>
      <c r="I893" s="1" t="s">
        <v>20</v>
      </c>
      <c r="J893" s="1" t="str">
        <f t="shared" si="120"/>
        <v>Закрито</v>
      </c>
      <c r="K893" s="5">
        <v>45603</v>
      </c>
      <c r="L893" s="1" t="s">
        <v>20</v>
      </c>
      <c r="M893" s="1" t="s">
        <v>22</v>
      </c>
      <c r="N893" s="5">
        <v>45603</v>
      </c>
    </row>
    <row r="894" spans="1:14" x14ac:dyDescent="0.3">
      <c r="A894" s="1" t="str">
        <f>"5_492/2129-11/2024/Т"</f>
        <v>5_492/2129-11/2024/Т</v>
      </c>
      <c r="B894" s="6">
        <v>45603</v>
      </c>
      <c r="C894" s="1" t="str">
        <f>"00097"</f>
        <v>00097</v>
      </c>
      <c r="D894" s="2" t="str">
        <f>"Державна реєстрація припинення юридичної особи в результаті її ліквідації (крім громадського формування та релігійної організації)"</f>
        <v>Державна реєстрація припинення юридичної особи в результаті її ліквідації (крім громадського формування та релігійної організації)</v>
      </c>
      <c r="E894" s="1" t="s">
        <v>20</v>
      </c>
      <c r="F8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94" s="1" t="str">
        <f>"Юридична особа"</f>
        <v>Юридична особа</v>
      </c>
      <c r="H894" s="1" t="str">
        <f>"ТОВАРИСТВО З ОБМЕЖЕНОЮ ВІДПОВІДАЛЬНІСТЮ ""ГОЛОС ОПІЛЛЯ""-МЕДІА+"""</f>
        <v>ТОВАРИСТВО З ОБМЕЖЕНОЮ ВІДПОВІДАЛЬНІСТЮ "ГОЛОС ОПІЛЛЯ"-МЕДІА+"</v>
      </c>
      <c r="I894" s="1" t="str">
        <f>"20553505"</f>
        <v>20553505</v>
      </c>
      <c r="J894" s="1" t="str">
        <f t="shared" si="120"/>
        <v>Закрито</v>
      </c>
      <c r="K894" s="5">
        <v>45603</v>
      </c>
      <c r="L894" s="1" t="s">
        <v>20</v>
      </c>
      <c r="M894" s="1" t="s">
        <v>22</v>
      </c>
      <c r="N894" s="5">
        <v>45603</v>
      </c>
    </row>
    <row r="895" spans="1:14" x14ac:dyDescent="0.3">
      <c r="A895" s="1" t="str">
        <f>"5_493/2129-11/2024/Ф"</f>
        <v>5_493/2129-11/2024/Ф</v>
      </c>
      <c r="B895" s="6">
        <v>45603</v>
      </c>
      <c r="C895" s="1" t="str">
        <f>"00234"</f>
        <v>00234</v>
      </c>
      <c r="D895" s="2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895" s="1" t="s">
        <v>20</v>
      </c>
      <c r="F89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95" s="1" t="str">
        <f>"Юридична особа"</f>
        <v>Юридична особа</v>
      </c>
      <c r="H895" s="1" t="str">
        <f>"Фермерського Господарства ""Клима Романа Олексійовича"""</f>
        <v>Фермерського Господарства "Клима Романа Олексійовича"</v>
      </c>
      <c r="I895" s="1" t="s">
        <v>20</v>
      </c>
      <c r="J895" s="1" t="str">
        <f t="shared" si="120"/>
        <v>Закрито</v>
      </c>
      <c r="K895" s="5">
        <v>45603</v>
      </c>
      <c r="L895" s="1" t="s">
        <v>20</v>
      </c>
      <c r="M895" s="1" t="s">
        <v>22</v>
      </c>
      <c r="N895" s="5">
        <v>45603</v>
      </c>
    </row>
    <row r="896" spans="1:14" x14ac:dyDescent="0.3">
      <c r="A896" s="1" t="str">
        <f>"16_658-11/2024/Л"</f>
        <v>16_658-11/2024/Л</v>
      </c>
      <c r="B896" s="6">
        <v>45603</v>
      </c>
      <c r="C896" s="1" t="str">
        <f>"00038"</f>
        <v>00038</v>
      </c>
      <c r="D89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896" s="1" t="s">
        <v>20</v>
      </c>
      <c r="F89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96" s="1" t="str">
        <f t="shared" ref="G896:G905" si="121">"Фізична особа"</f>
        <v>Фізична особа</v>
      </c>
      <c r="H896" s="1" t="s">
        <v>20</v>
      </c>
      <c r="I896" s="1" t="s">
        <v>20</v>
      </c>
      <c r="J896" s="1" t="str">
        <f t="shared" si="120"/>
        <v>Закрито</v>
      </c>
      <c r="K896" s="5">
        <v>45603</v>
      </c>
      <c r="L896" s="1" t="s">
        <v>20</v>
      </c>
      <c r="M896" s="1" t="s">
        <v>22</v>
      </c>
      <c r="N896" s="5">
        <v>45603</v>
      </c>
    </row>
    <row r="897" spans="1:14" x14ac:dyDescent="0.3">
      <c r="A897" s="1" t="str">
        <f>"16_659-11/2024/Л"</f>
        <v>16_659-11/2024/Л</v>
      </c>
      <c r="B897" s="6">
        <v>45603</v>
      </c>
      <c r="C897" s="1" t="str">
        <f>"00064"</f>
        <v>00064</v>
      </c>
      <c r="D897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897" s="1" t="s">
        <v>20</v>
      </c>
      <c r="F897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897" s="1" t="str">
        <f t="shared" si="121"/>
        <v>Фізична особа</v>
      </c>
      <c r="H897" s="1" t="s">
        <v>20</v>
      </c>
      <c r="I897" s="1" t="s">
        <v>20</v>
      </c>
      <c r="J897" s="1" t="str">
        <f t="shared" si="120"/>
        <v>Закрито</v>
      </c>
      <c r="K897" s="5">
        <v>45603</v>
      </c>
      <c r="L897" s="1" t="s">
        <v>20</v>
      </c>
      <c r="M897" s="1" t="s">
        <v>22</v>
      </c>
      <c r="N897" s="5">
        <v>45603</v>
      </c>
    </row>
    <row r="898" spans="1:14" x14ac:dyDescent="0.3">
      <c r="A898" s="1" t="str">
        <f>"16_660-11/2024/К"</f>
        <v>16_660-11/2024/К</v>
      </c>
      <c r="B898" s="6">
        <v>45603</v>
      </c>
      <c r="C898" s="1" t="str">
        <f>"33"</f>
        <v>33</v>
      </c>
      <c r="D898" s="2" t="str">
        <f>"33 Довідки різного характеру"</f>
        <v>33 Довідки різного характеру</v>
      </c>
      <c r="E898" s="1" t="s">
        <v>20</v>
      </c>
      <c r="F89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98" s="1" t="str">
        <f t="shared" si="121"/>
        <v>Фізична особа</v>
      </c>
      <c r="H898" s="1" t="s">
        <v>20</v>
      </c>
      <c r="I898" s="1" t="s">
        <v>20</v>
      </c>
      <c r="J898" s="1" t="str">
        <f t="shared" si="120"/>
        <v>Закрито</v>
      </c>
      <c r="K898" s="5">
        <v>45603</v>
      </c>
      <c r="L898" s="1" t="s">
        <v>20</v>
      </c>
      <c r="M898" s="1" t="s">
        <v>22</v>
      </c>
      <c r="N898" s="5">
        <v>45603</v>
      </c>
    </row>
    <row r="899" spans="1:14" x14ac:dyDescent="0.3">
      <c r="A899" s="1" t="str">
        <f>"16_661-11/2024/С"</f>
        <v>16_661-11/2024/С</v>
      </c>
      <c r="B899" s="6">
        <v>45603</v>
      </c>
      <c r="C899" s="1" t="str">
        <f>"33"</f>
        <v>33</v>
      </c>
      <c r="D899" s="2" t="str">
        <f>"33 Довідки різного характеру"</f>
        <v>33 Довідки різного характеру</v>
      </c>
      <c r="E899" s="1" t="s">
        <v>20</v>
      </c>
      <c r="F89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899" s="1" t="str">
        <f t="shared" si="121"/>
        <v>Фізична особа</v>
      </c>
      <c r="H899" s="1" t="s">
        <v>20</v>
      </c>
      <c r="I899" s="1" t="s">
        <v>20</v>
      </c>
      <c r="J899" s="1" t="str">
        <f t="shared" si="120"/>
        <v>Закрито</v>
      </c>
      <c r="K899" s="5">
        <v>45603</v>
      </c>
      <c r="L899" s="1" t="s">
        <v>20</v>
      </c>
      <c r="M899" s="1" t="s">
        <v>22</v>
      </c>
      <c r="N899" s="5">
        <v>45603</v>
      </c>
    </row>
    <row r="900" spans="1:14" x14ac:dyDescent="0.3">
      <c r="A900" s="1" t="str">
        <f>"35_504-11/2024/Р"</f>
        <v>35_504-11/2024/Р</v>
      </c>
      <c r="B900" s="6">
        <v>45603</v>
      </c>
      <c r="C900" s="1" t="str">
        <f>"00133"</f>
        <v>00133</v>
      </c>
      <c r="D900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900" s="1" t="str">
        <f>"03193413"</f>
        <v>03193413</v>
      </c>
      <c r="F90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900" s="1" t="str">
        <f t="shared" si="121"/>
        <v>Фізична особа</v>
      </c>
      <c r="H900" s="1" t="s">
        <v>20</v>
      </c>
      <c r="I900" s="1" t="s">
        <v>20</v>
      </c>
      <c r="J900" s="1" t="str">
        <f t="shared" si="120"/>
        <v>Закрито</v>
      </c>
      <c r="K900" s="1" t="s">
        <v>20</v>
      </c>
      <c r="L900" s="1" t="s">
        <v>20</v>
      </c>
      <c r="M900" s="1" t="s">
        <v>22</v>
      </c>
      <c r="N900" s="1" t="s">
        <v>20</v>
      </c>
    </row>
    <row r="901" spans="1:14" x14ac:dyDescent="0.3">
      <c r="A901" s="1" t="str">
        <f>"1_5689/2129-11/2024/Т"</f>
        <v>1_5689/2129-11/2024/Т</v>
      </c>
      <c r="B901" s="6">
        <v>45603</v>
      </c>
      <c r="C901" s="1" t="str">
        <f>"00038"</f>
        <v>00038</v>
      </c>
      <c r="D90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01" s="1" t="s">
        <v>20</v>
      </c>
      <c r="F90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01" s="1" t="str">
        <f t="shared" si="121"/>
        <v>Фізична особа</v>
      </c>
      <c r="H901" s="1" t="s">
        <v>20</v>
      </c>
      <c r="I901" s="1" t="s">
        <v>20</v>
      </c>
      <c r="J901" s="1" t="str">
        <f t="shared" si="120"/>
        <v>Закрито</v>
      </c>
      <c r="K901" s="6">
        <v>45603</v>
      </c>
      <c r="L901" s="1" t="s">
        <v>20</v>
      </c>
      <c r="M901" s="1" t="s">
        <v>22</v>
      </c>
      <c r="N901" s="5">
        <v>45603</v>
      </c>
    </row>
    <row r="902" spans="1:14" x14ac:dyDescent="0.3">
      <c r="A902" s="1" t="str">
        <f>"1_5690/2129-11/2024/Л"</f>
        <v>1_5690/2129-11/2024/Л</v>
      </c>
      <c r="B902" s="6">
        <v>45603</v>
      </c>
      <c r="C902" s="1" t="str">
        <f>"00038"</f>
        <v>00038</v>
      </c>
      <c r="D90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02" s="1" t="s">
        <v>20</v>
      </c>
      <c r="F90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02" s="1" t="str">
        <f t="shared" si="121"/>
        <v>Фізична особа</v>
      </c>
      <c r="H902" s="1" t="s">
        <v>20</v>
      </c>
      <c r="I902" s="1" t="s">
        <v>20</v>
      </c>
      <c r="J902" s="1" t="str">
        <f t="shared" si="120"/>
        <v>Закрито</v>
      </c>
      <c r="K902" s="6">
        <v>45603</v>
      </c>
      <c r="L902" s="1" t="s">
        <v>20</v>
      </c>
      <c r="M902" s="1" t="s">
        <v>22</v>
      </c>
      <c r="N902" s="5">
        <v>45603</v>
      </c>
    </row>
    <row r="903" spans="1:14" x14ac:dyDescent="0.3">
      <c r="A903" s="1" t="str">
        <f>"4_1242/03193413-11/2024/В"</f>
        <v>4_1242/03193413-11/2024/В</v>
      </c>
      <c r="B903" s="6">
        <v>45603</v>
      </c>
      <c r="C903" s="1" t="str">
        <f>"00155"</f>
        <v>00155</v>
      </c>
      <c r="D903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903" s="1" t="str">
        <f>"03193413"</f>
        <v>03193413</v>
      </c>
      <c r="F90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903" s="1" t="str">
        <f t="shared" si="121"/>
        <v>Фізична особа</v>
      </c>
      <c r="H903" s="1" t="s">
        <v>20</v>
      </c>
      <c r="I903" s="1" t="s">
        <v>20</v>
      </c>
      <c r="J903" s="1" t="str">
        <f t="shared" si="120"/>
        <v>Закрито</v>
      </c>
      <c r="K903" s="5">
        <v>45615</v>
      </c>
      <c r="L903" s="1" t="s">
        <v>20</v>
      </c>
      <c r="M903" s="1" t="s">
        <v>22</v>
      </c>
      <c r="N903" s="5">
        <v>45615</v>
      </c>
    </row>
    <row r="904" spans="1:14" x14ac:dyDescent="0.3">
      <c r="A904" s="1" t="str">
        <f>"4_1243/03193413-11/2024/Р"</f>
        <v>4_1243/03193413-11/2024/Р</v>
      </c>
      <c r="B904" s="6">
        <v>45603</v>
      </c>
      <c r="C904" s="1" t="str">
        <f>"00155"</f>
        <v>00155</v>
      </c>
      <c r="D904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904" s="1" t="str">
        <f>"03193413"</f>
        <v>03193413</v>
      </c>
      <c r="F90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904" s="1" t="str">
        <f t="shared" si="121"/>
        <v>Фізична особа</v>
      </c>
      <c r="H904" s="1" t="s">
        <v>20</v>
      </c>
      <c r="I904" s="1" t="s">
        <v>20</v>
      </c>
      <c r="J904" s="1" t="str">
        <f t="shared" si="120"/>
        <v>Закрито</v>
      </c>
      <c r="K904" s="5">
        <v>45615</v>
      </c>
      <c r="L904" s="1" t="s">
        <v>20</v>
      </c>
      <c r="M904" s="1" t="s">
        <v>22</v>
      </c>
      <c r="N904" s="5">
        <v>45615</v>
      </c>
    </row>
    <row r="905" spans="1:14" x14ac:dyDescent="0.3">
      <c r="A905" s="1" t="str">
        <f>"4_1244/03193413-11/2024/Ф"</f>
        <v>4_1244/03193413-11/2024/Ф</v>
      </c>
      <c r="B905" s="6">
        <v>45603</v>
      </c>
      <c r="C905" s="1" t="str">
        <f>"00155"</f>
        <v>00155</v>
      </c>
      <c r="D905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905" s="1" t="str">
        <f>"03193413"</f>
        <v>03193413</v>
      </c>
      <c r="F90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905" s="1" t="str">
        <f t="shared" si="121"/>
        <v>Фізична особа</v>
      </c>
      <c r="H905" s="1" t="s">
        <v>20</v>
      </c>
      <c r="I905" s="1" t="s">
        <v>20</v>
      </c>
      <c r="J905" s="1" t="str">
        <f t="shared" si="120"/>
        <v>Закрито</v>
      </c>
      <c r="K905" s="5">
        <v>45615</v>
      </c>
      <c r="L905" s="1" t="s">
        <v>20</v>
      </c>
      <c r="M905" s="1" t="s">
        <v>22</v>
      </c>
      <c r="N905" s="5">
        <v>45615</v>
      </c>
    </row>
    <row r="906" spans="1:14" x14ac:dyDescent="0.3">
      <c r="A906" s="1" t="str">
        <f>"5_494/2129-11/2024/Т"</f>
        <v>5_494/2129-11/2024/Т</v>
      </c>
      <c r="B906" s="6">
        <v>45603</v>
      </c>
      <c r="C906" s="1" t="str">
        <f>"00054"</f>
        <v>00054</v>
      </c>
      <c r="D906" s="2" t="s">
        <v>2</v>
      </c>
      <c r="E906" s="1" t="s">
        <v>20</v>
      </c>
      <c r="F90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06" s="1" t="str">
        <f>"Юридична особа"</f>
        <v>Юридична особа</v>
      </c>
      <c r="H906" s="1" t="str">
        <f>"ТОВАРИСТВО З ОБМЕЖЕНОЮ ВІДПОВІДАЛЬНІСТЮ ""ЄЛДЄТА"""</f>
        <v>ТОВАРИСТВО З ОБМЕЖЕНОЮ ВІДПОВІДАЛЬНІСТЮ "ЄЛДЄТА"</v>
      </c>
      <c r="I906" s="1" t="str">
        <f>"42008504"</f>
        <v>42008504</v>
      </c>
      <c r="J906" s="1" t="str">
        <f t="shared" si="120"/>
        <v>Закрито</v>
      </c>
      <c r="K906" s="1" t="s">
        <v>20</v>
      </c>
      <c r="L906" s="1" t="s">
        <v>20</v>
      </c>
      <c r="M906" s="1" t="s">
        <v>22</v>
      </c>
      <c r="N906" s="1" t="s">
        <v>20</v>
      </c>
    </row>
    <row r="907" spans="1:14" x14ac:dyDescent="0.3">
      <c r="A907" s="1" t="str">
        <f>"4_1245/03193413-11/2024/Д"</f>
        <v>4_1245/03193413-11/2024/Д</v>
      </c>
      <c r="B907" s="6">
        <v>45603</v>
      </c>
      <c r="C907" s="1" t="str">
        <f>"00103"</f>
        <v>00103</v>
      </c>
      <c r="D907" s="2" t="s">
        <v>1</v>
      </c>
      <c r="E907" s="1" t="str">
        <f>"03193413"</f>
        <v>03193413</v>
      </c>
      <c r="F90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907" s="1" t="str">
        <f>"Фізична особа"</f>
        <v>Фізична особа</v>
      </c>
      <c r="H907" s="1" t="s">
        <v>20</v>
      </c>
      <c r="I907" s="1" t="s">
        <v>20</v>
      </c>
      <c r="J907" s="1" t="str">
        <f t="shared" si="120"/>
        <v>Закрито</v>
      </c>
      <c r="K907" s="5">
        <v>45608</v>
      </c>
      <c r="L907" s="1" t="s">
        <v>20</v>
      </c>
      <c r="M907" s="1" t="s">
        <v>22</v>
      </c>
      <c r="N907" s="5">
        <v>45608</v>
      </c>
    </row>
    <row r="908" spans="1:14" x14ac:dyDescent="0.3">
      <c r="A908" s="1" t="str">
        <f>"24_328-11/2024/Б"</f>
        <v>24_328-11/2024/Б</v>
      </c>
      <c r="B908" s="6">
        <v>45603</v>
      </c>
      <c r="C908" s="1" t="str">
        <f>"33"</f>
        <v>33</v>
      </c>
      <c r="D908" s="2" t="str">
        <f>"33 Довідки різного характеру"</f>
        <v>33 Довідки різного характеру</v>
      </c>
      <c r="E908" s="1" t="s">
        <v>20</v>
      </c>
      <c r="F90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08" s="1" t="str">
        <f>"Фізична особа"</f>
        <v>Фізична особа</v>
      </c>
      <c r="H908" s="1" t="s">
        <v>20</v>
      </c>
      <c r="I908" s="1" t="s">
        <v>20</v>
      </c>
      <c r="J908" s="1" t="str">
        <f t="shared" si="120"/>
        <v>Закрито</v>
      </c>
      <c r="K908" s="5">
        <v>45603</v>
      </c>
      <c r="L908" s="1" t="s">
        <v>20</v>
      </c>
      <c r="M908" s="1" t="s">
        <v>22</v>
      </c>
      <c r="N908" s="5">
        <v>45603</v>
      </c>
    </row>
    <row r="909" spans="1:14" x14ac:dyDescent="0.3">
      <c r="A909" s="1" t="str">
        <f>"9_1606/04054323-11/2024/Ф"</f>
        <v>9_1606/04054323-11/2024/Ф</v>
      </c>
      <c r="B909" s="6">
        <v>45603</v>
      </c>
      <c r="C909" s="1" t="str">
        <f>"01"</f>
        <v>01</v>
      </c>
      <c r="D909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909" s="1" t="str">
        <f>"04054323"</f>
        <v>04054323</v>
      </c>
      <c r="F909" s="1" t="str">
        <f>"Рогатинська міська рада"</f>
        <v>Рогатинська міська рада</v>
      </c>
      <c r="G909" s="1" t="s">
        <v>21</v>
      </c>
      <c r="H909" s="1" t="s">
        <v>20</v>
      </c>
      <c r="I909" s="1" t="s">
        <v>20</v>
      </c>
      <c r="J909" s="1" t="str">
        <f t="shared" si="120"/>
        <v>Закрито</v>
      </c>
      <c r="K909" s="5">
        <v>45637</v>
      </c>
      <c r="L909" s="1" t="s">
        <v>20</v>
      </c>
      <c r="M909" s="1" t="s">
        <v>22</v>
      </c>
      <c r="N909" s="5">
        <v>45637</v>
      </c>
    </row>
    <row r="910" spans="1:14" x14ac:dyDescent="0.3">
      <c r="A910" s="1" t="str">
        <f>"9_1607/04054323-11/2024/Л"</f>
        <v>9_1607/04054323-11/2024/Л</v>
      </c>
      <c r="B910" s="6">
        <v>45603</v>
      </c>
      <c r="C910" s="1" t="str">
        <f>"01-1"</f>
        <v>01-1</v>
      </c>
      <c r="D910" s="2" t="s">
        <v>0</v>
      </c>
      <c r="E910" s="1" t="str">
        <f>"04054323"</f>
        <v>04054323</v>
      </c>
      <c r="F910" s="1" t="str">
        <f>"Рогатинська міська рада"</f>
        <v>Рогатинська міська рада</v>
      </c>
      <c r="G910" s="1" t="str">
        <f>"Фізична особа"</f>
        <v>Фізична особа</v>
      </c>
      <c r="H910" s="1" t="s">
        <v>20</v>
      </c>
      <c r="I910" s="1" t="s">
        <v>20</v>
      </c>
      <c r="J910" s="1" t="str">
        <f t="shared" si="120"/>
        <v>Закрито</v>
      </c>
      <c r="K910" s="5">
        <v>45637</v>
      </c>
      <c r="L910" s="1" t="s">
        <v>20</v>
      </c>
      <c r="M910" s="1" t="s">
        <v>22</v>
      </c>
      <c r="N910" s="5">
        <v>45637</v>
      </c>
    </row>
    <row r="911" spans="1:14" x14ac:dyDescent="0.3">
      <c r="A911" s="1" t="str">
        <f>"7_254/2129-11/2024/Р"</f>
        <v>7_254/2129-11/2024/Р</v>
      </c>
      <c r="B911" s="6">
        <v>45603</v>
      </c>
      <c r="C911" s="1" t="str">
        <f>"33"</f>
        <v>33</v>
      </c>
      <c r="D911" s="2" t="str">
        <f>"33 Довідки різного характеру"</f>
        <v>33 Довідки різного характеру</v>
      </c>
      <c r="E911" s="1" t="s">
        <v>20</v>
      </c>
      <c r="F91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11" s="1" t="str">
        <f>"Юридична особа"</f>
        <v>Юридична особа</v>
      </c>
      <c r="H911" s="1" t="str">
        <f>"Рогатинський районний суд"</f>
        <v>Рогатинський районний суд</v>
      </c>
      <c r="I911" s="1" t="s">
        <v>20</v>
      </c>
      <c r="J911" s="1" t="str">
        <f t="shared" si="120"/>
        <v>Закрито</v>
      </c>
      <c r="K911" s="5">
        <v>45603</v>
      </c>
      <c r="L911" s="1" t="s">
        <v>20</v>
      </c>
      <c r="M911" s="1" t="s">
        <v>22</v>
      </c>
      <c r="N911" s="5">
        <v>45603</v>
      </c>
    </row>
    <row r="912" spans="1:14" x14ac:dyDescent="0.3">
      <c r="A912" s="1" t="str">
        <f>"9_1608/04054323-11/2024/Б"</f>
        <v>9_1608/04054323-11/2024/Б</v>
      </c>
      <c r="B912" s="6">
        <v>45603</v>
      </c>
      <c r="C912" s="1" t="str">
        <f>"01-1"</f>
        <v>01-1</v>
      </c>
      <c r="D912" s="2" t="s">
        <v>0</v>
      </c>
      <c r="E912" s="1" t="str">
        <f>"04054323"</f>
        <v>04054323</v>
      </c>
      <c r="F912" s="1" t="str">
        <f>"Рогатинська міська рада"</f>
        <v>Рогатинська міська рада</v>
      </c>
      <c r="G912" s="1" t="str">
        <f t="shared" ref="G912:G924" si="122">"Фізична особа"</f>
        <v>Фізична особа</v>
      </c>
      <c r="H912" s="1" t="s">
        <v>20</v>
      </c>
      <c r="I912" s="1" t="s">
        <v>20</v>
      </c>
      <c r="J912" s="1" t="str">
        <f t="shared" si="120"/>
        <v>Закрито</v>
      </c>
      <c r="K912" s="5">
        <v>45637</v>
      </c>
      <c r="L912" s="1" t="s">
        <v>20</v>
      </c>
      <c r="M912" s="1" t="s">
        <v>22</v>
      </c>
      <c r="N912" s="5">
        <v>45637</v>
      </c>
    </row>
    <row r="913" spans="1:14" x14ac:dyDescent="0.3">
      <c r="A913" s="1" t="str">
        <f>"1_5691/2129-11/2024/Є"</f>
        <v>1_5691/2129-11/2024/Є</v>
      </c>
      <c r="B913" s="6">
        <v>45603</v>
      </c>
      <c r="C913" s="1" t="str">
        <f>"00034"</f>
        <v>00034</v>
      </c>
      <c r="D913" s="2" t="str">
        <f>"Реєстрація місця проживання"</f>
        <v>Реєстрація місця проживання</v>
      </c>
      <c r="E913" s="1" t="s">
        <v>20</v>
      </c>
      <c r="F9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13" s="1" t="str">
        <f t="shared" si="122"/>
        <v>Фізична особа</v>
      </c>
      <c r="H913" s="1" t="s">
        <v>20</v>
      </c>
      <c r="I913" s="1" t="s">
        <v>20</v>
      </c>
      <c r="J913" s="1" t="str">
        <f t="shared" si="120"/>
        <v>Закрито</v>
      </c>
      <c r="K913" s="6">
        <v>45603</v>
      </c>
      <c r="L913" s="1" t="s">
        <v>20</v>
      </c>
      <c r="M913" s="1" t="s">
        <v>22</v>
      </c>
      <c r="N913" s="5">
        <v>45603</v>
      </c>
    </row>
    <row r="914" spans="1:14" x14ac:dyDescent="0.3">
      <c r="A914" s="1" t="str">
        <f>"18_613-11/2024/К"</f>
        <v>18_613-11/2024/К</v>
      </c>
      <c r="B914" s="6">
        <v>45603</v>
      </c>
      <c r="C914" s="1" t="str">
        <f>"00133"</f>
        <v>00133</v>
      </c>
      <c r="D914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914" s="1" t="str">
        <f>"03193413"</f>
        <v>03193413</v>
      </c>
      <c r="F91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914" s="1" t="str">
        <f t="shared" si="122"/>
        <v>Фізична особа</v>
      </c>
      <c r="H914" s="1" t="s">
        <v>20</v>
      </c>
      <c r="I914" s="1" t="s">
        <v>20</v>
      </c>
      <c r="J914" s="1" t="str">
        <f>"На обробці в СНАП"</f>
        <v>На обробці в СНАП</v>
      </c>
      <c r="K914" s="1" t="s">
        <v>20</v>
      </c>
      <c r="L914" s="1" t="s">
        <v>20</v>
      </c>
      <c r="M914" s="1" t="s">
        <v>22</v>
      </c>
      <c r="N914" s="1" t="s">
        <v>20</v>
      </c>
    </row>
    <row r="915" spans="1:14" x14ac:dyDescent="0.3">
      <c r="A915" s="1" t="str">
        <f>"1_5692/2129-11/2024/Є"</f>
        <v>1_5692/2129-11/2024/Є</v>
      </c>
      <c r="B915" s="6">
        <v>45603</v>
      </c>
      <c r="C915" s="1" t="str">
        <f>"00038"</f>
        <v>00038</v>
      </c>
      <c r="D91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15" s="1" t="s">
        <v>20</v>
      </c>
      <c r="F91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15" s="1" t="str">
        <f t="shared" si="122"/>
        <v>Фізична особа</v>
      </c>
      <c r="H915" s="1" t="s">
        <v>20</v>
      </c>
      <c r="I915" s="1" t="s">
        <v>20</v>
      </c>
      <c r="J915" s="1" t="str">
        <f t="shared" ref="J915:J939" si="123">"Закрито"</f>
        <v>Закрито</v>
      </c>
      <c r="K915" s="6">
        <v>45603</v>
      </c>
      <c r="L915" s="1" t="s">
        <v>20</v>
      </c>
      <c r="M915" s="1" t="s">
        <v>22</v>
      </c>
      <c r="N915" s="5">
        <v>45603</v>
      </c>
    </row>
    <row r="916" spans="1:14" x14ac:dyDescent="0.3">
      <c r="A916" s="1" t="str">
        <f>"9_1609/04054323-11/2024/Б"</f>
        <v>9_1609/04054323-11/2024/Б</v>
      </c>
      <c r="B916" s="6">
        <v>45603</v>
      </c>
      <c r="C916" s="1" t="str">
        <f>"01"</f>
        <v>01</v>
      </c>
      <c r="D916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916" s="1" t="str">
        <f>"04054323"</f>
        <v>04054323</v>
      </c>
      <c r="F916" s="1" t="str">
        <f>"Рогатинська міська рада"</f>
        <v>Рогатинська міська рада</v>
      </c>
      <c r="G916" s="1" t="str">
        <f t="shared" si="122"/>
        <v>Фізична особа</v>
      </c>
      <c r="H916" s="1" t="s">
        <v>20</v>
      </c>
      <c r="I916" s="1" t="s">
        <v>20</v>
      </c>
      <c r="J916" s="1" t="str">
        <f t="shared" si="123"/>
        <v>Закрито</v>
      </c>
      <c r="K916" s="5">
        <v>45637</v>
      </c>
      <c r="L916" s="1" t="s">
        <v>20</v>
      </c>
      <c r="M916" s="1" t="s">
        <v>22</v>
      </c>
      <c r="N916" s="5">
        <v>45637</v>
      </c>
    </row>
    <row r="917" spans="1:14" x14ac:dyDescent="0.3">
      <c r="A917" s="1" t="str">
        <f>"10_121-11/2024/П"</f>
        <v>10_121-11/2024/П</v>
      </c>
      <c r="B917" s="6">
        <v>45603</v>
      </c>
      <c r="C917" s="1" t="str">
        <f>"00244"</f>
        <v>00244</v>
      </c>
      <c r="D917" s="2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917" s="1" t="str">
        <f>"04054323"</f>
        <v>04054323</v>
      </c>
      <c r="F917" s="1" t="str">
        <f>"Рогатинська міська рада"</f>
        <v>Рогатинська міська рада</v>
      </c>
      <c r="G917" s="1" t="str">
        <f t="shared" si="122"/>
        <v>Фізична особа</v>
      </c>
      <c r="H917" s="1" t="s">
        <v>20</v>
      </c>
      <c r="I917" s="1" t="s">
        <v>20</v>
      </c>
      <c r="J917" s="1" t="str">
        <f t="shared" si="123"/>
        <v>Закрито</v>
      </c>
      <c r="K917" s="5">
        <v>45603</v>
      </c>
      <c r="L917" s="1" t="s">
        <v>20</v>
      </c>
      <c r="M917" s="1" t="s">
        <v>22</v>
      </c>
      <c r="N917" s="5">
        <v>45603</v>
      </c>
    </row>
    <row r="918" spans="1:14" x14ac:dyDescent="0.3">
      <c r="A918" s="1" t="str">
        <f>"1_5693/2129-11/2024/Є"</f>
        <v>1_5693/2129-11/2024/Є</v>
      </c>
      <c r="B918" s="6">
        <v>45603</v>
      </c>
      <c r="C918" s="1" t="str">
        <f>"00038"</f>
        <v>00038</v>
      </c>
      <c r="D91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18" s="1" t="s">
        <v>20</v>
      </c>
      <c r="F9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18" s="1" t="str">
        <f t="shared" si="122"/>
        <v>Фізична особа</v>
      </c>
      <c r="H918" s="1" t="s">
        <v>20</v>
      </c>
      <c r="I918" s="1" t="s">
        <v>20</v>
      </c>
      <c r="J918" s="1" t="str">
        <f t="shared" si="123"/>
        <v>Закрито</v>
      </c>
      <c r="K918" s="6">
        <v>45603</v>
      </c>
      <c r="L918" s="1" t="s">
        <v>20</v>
      </c>
      <c r="M918" s="1" t="s">
        <v>22</v>
      </c>
      <c r="N918" s="5">
        <v>45603</v>
      </c>
    </row>
    <row r="919" spans="1:14" x14ac:dyDescent="0.3">
      <c r="A919" s="1" t="str">
        <f>"18_614-11/2024/К"</f>
        <v>18_614-11/2024/К</v>
      </c>
      <c r="B919" s="6">
        <v>45603</v>
      </c>
      <c r="C919" s="1" t="str">
        <f>"33"</f>
        <v>33</v>
      </c>
      <c r="D919" s="2" t="str">
        <f>"33 Довідки різного характеру"</f>
        <v>33 Довідки різного характеру</v>
      </c>
      <c r="E919" s="1" t="s">
        <v>20</v>
      </c>
      <c r="F91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19" s="1" t="str">
        <f t="shared" si="122"/>
        <v>Фізична особа</v>
      </c>
      <c r="H919" s="1" t="s">
        <v>20</v>
      </c>
      <c r="I919" s="1" t="s">
        <v>20</v>
      </c>
      <c r="J919" s="1" t="str">
        <f t="shared" si="123"/>
        <v>Закрито</v>
      </c>
      <c r="K919" s="5">
        <v>45603</v>
      </c>
      <c r="L919" s="1" t="s">
        <v>20</v>
      </c>
      <c r="M919" s="1" t="s">
        <v>22</v>
      </c>
      <c r="N919" s="5">
        <v>45603</v>
      </c>
    </row>
    <row r="920" spans="1:14" x14ac:dyDescent="0.3">
      <c r="A920" s="1" t="str">
        <f>"9_1610/04054323-11/2024/Л"</f>
        <v>9_1610/04054323-11/2024/Л</v>
      </c>
      <c r="B920" s="6">
        <v>45603</v>
      </c>
      <c r="C920" s="1" t="str">
        <f>"01"</f>
        <v>01</v>
      </c>
      <c r="D920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920" s="1" t="str">
        <f>"04054323"</f>
        <v>04054323</v>
      </c>
      <c r="F920" s="1" t="str">
        <f>"Рогатинська міська рада"</f>
        <v>Рогатинська міська рада</v>
      </c>
      <c r="G920" s="1" t="str">
        <f t="shared" si="122"/>
        <v>Фізична особа</v>
      </c>
      <c r="H920" s="1" t="s">
        <v>20</v>
      </c>
      <c r="I920" s="1" t="s">
        <v>20</v>
      </c>
      <c r="J920" s="1" t="str">
        <f t="shared" si="123"/>
        <v>Закрито</v>
      </c>
      <c r="K920" s="5">
        <v>45637</v>
      </c>
      <c r="L920" s="1" t="s">
        <v>20</v>
      </c>
      <c r="M920" s="1" t="s">
        <v>22</v>
      </c>
      <c r="N920" s="5">
        <v>45637</v>
      </c>
    </row>
    <row r="921" spans="1:14" x14ac:dyDescent="0.3">
      <c r="A921" s="1" t="str">
        <f>"1_5694/2129-11/2024/Д"</f>
        <v>1_5694/2129-11/2024/Д</v>
      </c>
      <c r="B921" s="6">
        <v>45603</v>
      </c>
      <c r="C921" s="1" t="str">
        <f>"00038"</f>
        <v>00038</v>
      </c>
      <c r="D92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21" s="1" t="s">
        <v>20</v>
      </c>
      <c r="F92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21" s="1" t="str">
        <f t="shared" si="122"/>
        <v>Фізична особа</v>
      </c>
      <c r="H921" s="1" t="s">
        <v>20</v>
      </c>
      <c r="I921" s="1" t="s">
        <v>20</v>
      </c>
      <c r="J921" s="1" t="str">
        <f t="shared" si="123"/>
        <v>Закрито</v>
      </c>
      <c r="K921" s="6">
        <v>45603</v>
      </c>
      <c r="L921" s="1" t="s">
        <v>20</v>
      </c>
      <c r="M921" s="1" t="s">
        <v>22</v>
      </c>
      <c r="N921" s="5">
        <v>45603</v>
      </c>
    </row>
    <row r="922" spans="1:14" x14ac:dyDescent="0.3">
      <c r="A922" s="1" t="str">
        <f>"1_5695/2129-11/2024/Г"</f>
        <v>1_5695/2129-11/2024/Г</v>
      </c>
      <c r="B922" s="6">
        <v>45603</v>
      </c>
      <c r="C922" s="1" t="str">
        <f>"00038"</f>
        <v>00038</v>
      </c>
      <c r="D92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22" s="1" t="s">
        <v>20</v>
      </c>
      <c r="F92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22" s="1" t="str">
        <f t="shared" si="122"/>
        <v>Фізична особа</v>
      </c>
      <c r="H922" s="1" t="s">
        <v>20</v>
      </c>
      <c r="I922" s="1" t="s">
        <v>20</v>
      </c>
      <c r="J922" s="1" t="str">
        <f t="shared" si="123"/>
        <v>Закрито</v>
      </c>
      <c r="K922" s="6">
        <v>45603</v>
      </c>
      <c r="L922" s="1" t="s">
        <v>20</v>
      </c>
      <c r="M922" s="1" t="s">
        <v>22</v>
      </c>
      <c r="N922" s="5">
        <v>45603</v>
      </c>
    </row>
    <row r="923" spans="1:14" x14ac:dyDescent="0.3">
      <c r="A923" s="1" t="str">
        <f>"14_960-11/2024/М"</f>
        <v>14_960-11/2024/М</v>
      </c>
      <c r="B923" s="6">
        <v>45603</v>
      </c>
      <c r="C923" s="1" t="str">
        <f>"00038"</f>
        <v>00038</v>
      </c>
      <c r="D92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23" s="1" t="s">
        <v>20</v>
      </c>
      <c r="F9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23" s="1" t="str">
        <f t="shared" si="122"/>
        <v>Фізична особа</v>
      </c>
      <c r="H923" s="1" t="s">
        <v>20</v>
      </c>
      <c r="I923" s="1" t="s">
        <v>20</v>
      </c>
      <c r="J923" s="1" t="str">
        <f t="shared" si="123"/>
        <v>Закрито</v>
      </c>
      <c r="K923" s="5">
        <v>45603</v>
      </c>
      <c r="L923" s="1" t="s">
        <v>20</v>
      </c>
      <c r="M923" s="1" t="s">
        <v>22</v>
      </c>
      <c r="N923" s="5">
        <v>45603</v>
      </c>
    </row>
    <row r="924" spans="1:14" x14ac:dyDescent="0.3">
      <c r="A924" s="1" t="str">
        <f>"14_961-11/2024/М"</f>
        <v>14_961-11/2024/М</v>
      </c>
      <c r="B924" s="6">
        <v>45603</v>
      </c>
      <c r="C924" s="1" t="str">
        <f>"33"</f>
        <v>33</v>
      </c>
      <c r="D924" s="2" t="str">
        <f>"33 Довідки різного характеру"</f>
        <v>33 Довідки різного характеру</v>
      </c>
      <c r="E924" s="1" t="s">
        <v>20</v>
      </c>
      <c r="F9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24" s="1" t="str">
        <f t="shared" si="122"/>
        <v>Фізична особа</v>
      </c>
      <c r="H924" s="1" t="s">
        <v>20</v>
      </c>
      <c r="I924" s="1" t="s">
        <v>20</v>
      </c>
      <c r="J924" s="1" t="str">
        <f t="shared" si="123"/>
        <v>Закрито</v>
      </c>
      <c r="K924" s="5">
        <v>45603</v>
      </c>
      <c r="L924" s="1" t="s">
        <v>20</v>
      </c>
      <c r="M924" s="1" t="s">
        <v>22</v>
      </c>
      <c r="N924" s="5">
        <v>45603</v>
      </c>
    </row>
    <row r="925" spans="1:14" x14ac:dyDescent="0.3">
      <c r="A925" s="1" t="str">
        <f>"9_1611/04054323-11/2024/Ф"</f>
        <v>9_1611/04054323-11/2024/Ф</v>
      </c>
      <c r="B925" s="6">
        <v>45603</v>
      </c>
      <c r="C925" s="1" t="str">
        <f>"01-1"</f>
        <v>01-1</v>
      </c>
      <c r="D925" s="2" t="s">
        <v>0</v>
      </c>
      <c r="E925" s="1" t="str">
        <f>"04054323"</f>
        <v>04054323</v>
      </c>
      <c r="F925" s="1" t="str">
        <f>"Рогатинська міська рада"</f>
        <v>Рогатинська міська рада</v>
      </c>
      <c r="G925" s="1" t="s">
        <v>21</v>
      </c>
      <c r="H925" s="1" t="s">
        <v>20</v>
      </c>
      <c r="I925" s="1" t="s">
        <v>20</v>
      </c>
      <c r="J925" s="1" t="str">
        <f t="shared" si="123"/>
        <v>Закрито</v>
      </c>
      <c r="K925" s="5">
        <v>45637</v>
      </c>
      <c r="L925" s="1" t="s">
        <v>20</v>
      </c>
      <c r="M925" s="1" t="s">
        <v>22</v>
      </c>
      <c r="N925" s="5">
        <v>45637</v>
      </c>
    </row>
    <row r="926" spans="1:14" x14ac:dyDescent="0.3">
      <c r="A926" s="1" t="str">
        <f>"1_5696/2129-11/2024/С"</f>
        <v>1_5696/2129-11/2024/С</v>
      </c>
      <c r="B926" s="6">
        <v>45603</v>
      </c>
      <c r="C926" s="1" t="str">
        <f>"01217"</f>
        <v>01217</v>
      </c>
      <c r="D926" s="2" t="str">
        <f>"Реєстрація місця проживання дитини до 14 років"</f>
        <v>Реєстрація місця проживання дитини до 14 років</v>
      </c>
      <c r="E926" s="1" t="s">
        <v>20</v>
      </c>
      <c r="F92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26" s="1" t="str">
        <f t="shared" ref="G926:G945" si="124">"Фізична особа"</f>
        <v>Фізична особа</v>
      </c>
      <c r="H926" s="1" t="s">
        <v>20</v>
      </c>
      <c r="I926" s="1" t="s">
        <v>20</v>
      </c>
      <c r="J926" s="1" t="str">
        <f t="shared" si="123"/>
        <v>Закрито</v>
      </c>
      <c r="K926" s="6">
        <v>45603</v>
      </c>
      <c r="L926" s="1" t="str">
        <f>"75.7"</f>
        <v>75.7</v>
      </c>
      <c r="M926" s="1" t="s">
        <v>22</v>
      </c>
      <c r="N926" s="5">
        <v>45603</v>
      </c>
    </row>
    <row r="927" spans="1:14" x14ac:dyDescent="0.3">
      <c r="A927" s="1" t="str">
        <f>"4_1246/03193413-11/2024/П"</f>
        <v>4_1246/03193413-11/2024/П</v>
      </c>
      <c r="B927" s="6">
        <v>45603</v>
      </c>
      <c r="C927" s="1" t="str">
        <f>"01257"</f>
        <v>01257</v>
      </c>
      <c r="D927" s="2" t="str">
        <f>"Взяття на облік внутрішньо переміщених осіб, які потребують надання житлового приміщення з фондів житла для тимчасового проживання"</f>
        <v>Взяття на облік внутрішньо переміщених осіб, які потребують надання житлового приміщення з фондів житла для тимчасового проживання</v>
      </c>
      <c r="E927" s="1" t="str">
        <f>"03193413"</f>
        <v>03193413</v>
      </c>
      <c r="F92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927" s="1" t="str">
        <f t="shared" si="124"/>
        <v>Фізична особа</v>
      </c>
      <c r="H927" s="1" t="s">
        <v>20</v>
      </c>
      <c r="I927" s="1" t="s">
        <v>20</v>
      </c>
      <c r="J927" s="1" t="str">
        <f t="shared" si="123"/>
        <v>Закрито</v>
      </c>
      <c r="K927" s="5">
        <v>45637</v>
      </c>
      <c r="L927" s="1" t="s">
        <v>20</v>
      </c>
      <c r="M927" s="1" t="s">
        <v>22</v>
      </c>
      <c r="N927" s="5">
        <v>45637</v>
      </c>
    </row>
    <row r="928" spans="1:14" x14ac:dyDescent="0.3">
      <c r="A928" s="1" t="str">
        <f>"21_640-11/2024/Б"</f>
        <v>21_640-11/2024/Б</v>
      </c>
      <c r="B928" s="6">
        <v>45603</v>
      </c>
      <c r="C928" s="1" t="str">
        <f>"01313"</f>
        <v>01313</v>
      </c>
      <c r="D928" s="2" t="str">
        <f>"Видача довідки про підтвердження місця проживання померлого"</f>
        <v>Видача довідки про підтвердження місця проживання померлого</v>
      </c>
      <c r="E928" s="1" t="s">
        <v>20</v>
      </c>
      <c r="F9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28" s="1" t="str">
        <f t="shared" si="124"/>
        <v>Фізична особа</v>
      </c>
      <c r="H928" s="1" t="s">
        <v>20</v>
      </c>
      <c r="I928" s="1" t="s">
        <v>20</v>
      </c>
      <c r="J928" s="1" t="str">
        <f t="shared" si="123"/>
        <v>Закрито</v>
      </c>
      <c r="K928" s="5">
        <v>45603</v>
      </c>
      <c r="L928" s="1" t="s">
        <v>20</v>
      </c>
      <c r="M928" s="1" t="s">
        <v>22</v>
      </c>
      <c r="N928" s="5">
        <v>45603</v>
      </c>
    </row>
    <row r="929" spans="1:14" x14ac:dyDescent="0.3">
      <c r="A929" s="1" t="str">
        <f>"21_641-11/2024/б"</f>
        <v>21_641-11/2024/б</v>
      </c>
      <c r="B929" s="6">
        <v>45603</v>
      </c>
      <c r="C929" s="1" t="str">
        <f>"33"</f>
        <v>33</v>
      </c>
      <c r="D929" s="2" t="str">
        <f>"33 Довідки різного характеру"</f>
        <v>33 Довідки різного характеру</v>
      </c>
      <c r="E929" s="1" t="s">
        <v>20</v>
      </c>
      <c r="F92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29" s="1" t="str">
        <f t="shared" si="124"/>
        <v>Фізична особа</v>
      </c>
      <c r="H929" s="1" t="s">
        <v>20</v>
      </c>
      <c r="I929" s="1" t="s">
        <v>20</v>
      </c>
      <c r="J929" s="1" t="str">
        <f t="shared" si="123"/>
        <v>Закрито</v>
      </c>
      <c r="K929" s="5">
        <v>45603</v>
      </c>
      <c r="L929" s="1" t="s">
        <v>20</v>
      </c>
      <c r="M929" s="1" t="s">
        <v>22</v>
      </c>
      <c r="N929" s="5">
        <v>45603</v>
      </c>
    </row>
    <row r="930" spans="1:14" x14ac:dyDescent="0.3">
      <c r="A930" s="1" t="str">
        <f>"4_1247/03193413-11/2024/Г"</f>
        <v>4_1247/03193413-11/2024/Г</v>
      </c>
      <c r="B930" s="6">
        <v>45603</v>
      </c>
      <c r="C930" s="1" t="str">
        <f>"00155"</f>
        <v>00155</v>
      </c>
      <c r="D930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930" s="1" t="str">
        <f>"03193413"</f>
        <v>03193413</v>
      </c>
      <c r="F93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930" s="1" t="str">
        <f t="shared" si="124"/>
        <v>Фізична особа</v>
      </c>
      <c r="H930" s="1" t="s">
        <v>20</v>
      </c>
      <c r="I930" s="1" t="s">
        <v>20</v>
      </c>
      <c r="J930" s="1" t="str">
        <f t="shared" si="123"/>
        <v>Закрито</v>
      </c>
      <c r="K930" s="5">
        <v>45616</v>
      </c>
      <c r="L930" s="1" t="s">
        <v>20</v>
      </c>
      <c r="M930" s="1" t="s">
        <v>22</v>
      </c>
      <c r="N930" s="5">
        <v>45616</v>
      </c>
    </row>
    <row r="931" spans="1:14" x14ac:dyDescent="0.3">
      <c r="A931" s="1" t="str">
        <f>"18_615-11/2024/К"</f>
        <v>18_615-11/2024/К</v>
      </c>
      <c r="B931" s="6">
        <v>45603</v>
      </c>
      <c r="C931" s="1" t="str">
        <f>"33"</f>
        <v>33</v>
      </c>
      <c r="D931" s="2" t="str">
        <f>"33 Довідки різного характеру"</f>
        <v>33 Довідки різного характеру</v>
      </c>
      <c r="E931" s="1" t="s">
        <v>20</v>
      </c>
      <c r="F9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31" s="1" t="str">
        <f t="shared" si="124"/>
        <v>Фізична особа</v>
      </c>
      <c r="H931" s="1" t="s">
        <v>20</v>
      </c>
      <c r="I931" s="1" t="s">
        <v>20</v>
      </c>
      <c r="J931" s="1" t="str">
        <f t="shared" si="123"/>
        <v>Закрито</v>
      </c>
      <c r="K931" s="5">
        <v>45603</v>
      </c>
      <c r="L931" s="1" t="s">
        <v>20</v>
      </c>
      <c r="M931" s="1" t="s">
        <v>22</v>
      </c>
      <c r="N931" s="5">
        <v>45603</v>
      </c>
    </row>
    <row r="932" spans="1:14" x14ac:dyDescent="0.3">
      <c r="A932" s="1" t="str">
        <f>"21_642-11/2024/Д"</f>
        <v>21_642-11/2024/Д</v>
      </c>
      <c r="B932" s="6">
        <v>45603</v>
      </c>
      <c r="C932" s="1" t="str">
        <f>"33"</f>
        <v>33</v>
      </c>
      <c r="D932" s="2" t="str">
        <f>"33 Довідки різного характеру"</f>
        <v>33 Довідки різного характеру</v>
      </c>
      <c r="E932" s="1" t="s">
        <v>20</v>
      </c>
      <c r="F9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32" s="1" t="str">
        <f t="shared" si="124"/>
        <v>Фізична особа</v>
      </c>
      <c r="H932" s="1" t="s">
        <v>20</v>
      </c>
      <c r="I932" s="1" t="s">
        <v>20</v>
      </c>
      <c r="J932" s="1" t="str">
        <f t="shared" si="123"/>
        <v>Закрито</v>
      </c>
      <c r="K932" s="5">
        <v>45603</v>
      </c>
      <c r="L932" s="1" t="s">
        <v>20</v>
      </c>
      <c r="M932" s="1" t="s">
        <v>22</v>
      </c>
      <c r="N932" s="5">
        <v>45603</v>
      </c>
    </row>
    <row r="933" spans="1:14" x14ac:dyDescent="0.3">
      <c r="A933" s="1" t="str">
        <f>"4_1248/03193413-11/2024/Є"</f>
        <v>4_1248/03193413-11/2024/Є</v>
      </c>
      <c r="B933" s="6">
        <v>45603</v>
      </c>
      <c r="C933" s="1" t="str">
        <f>"01775"</f>
        <v>01775</v>
      </c>
      <c r="D933" s="2" t="str">
        <f>"Призначення одноразової натуральної допомоги ""пакунок малюка"""</f>
        <v>Призначення одноразової натуральної допомоги "пакунок малюка"</v>
      </c>
      <c r="E933" s="1" t="str">
        <f>"03193413"</f>
        <v>03193413</v>
      </c>
      <c r="F93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933" s="1" t="str">
        <f t="shared" si="124"/>
        <v>Фізична особа</v>
      </c>
      <c r="H933" s="1" t="s">
        <v>20</v>
      </c>
      <c r="I933" s="1" t="s">
        <v>20</v>
      </c>
      <c r="J933" s="1" t="str">
        <f t="shared" si="123"/>
        <v>Закрито</v>
      </c>
      <c r="K933" s="5">
        <v>45637</v>
      </c>
      <c r="L933" s="1" t="s">
        <v>20</v>
      </c>
      <c r="M933" s="1" t="s">
        <v>22</v>
      </c>
      <c r="N933" s="5">
        <v>45637</v>
      </c>
    </row>
    <row r="934" spans="1:14" x14ac:dyDescent="0.3">
      <c r="A934" s="1" t="str">
        <f>"18_616-11/2024/П"</f>
        <v>18_616-11/2024/П</v>
      </c>
      <c r="B934" s="6">
        <v>45603</v>
      </c>
      <c r="C934" s="1" t="str">
        <f>"33"</f>
        <v>33</v>
      </c>
      <c r="D934" s="2" t="str">
        <f>"33 Довідки різного характеру"</f>
        <v>33 Довідки різного характеру</v>
      </c>
      <c r="E934" s="1" t="s">
        <v>20</v>
      </c>
      <c r="F9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34" s="1" t="str">
        <f t="shared" si="124"/>
        <v>Фізична особа</v>
      </c>
      <c r="H934" s="1" t="s">
        <v>20</v>
      </c>
      <c r="I934" s="1" t="s">
        <v>20</v>
      </c>
      <c r="J934" s="1" t="str">
        <f t="shared" si="123"/>
        <v>Закрито</v>
      </c>
      <c r="K934" s="5">
        <v>45603</v>
      </c>
      <c r="L934" s="1" t="s">
        <v>20</v>
      </c>
      <c r="M934" s="1" t="s">
        <v>22</v>
      </c>
      <c r="N934" s="5">
        <v>45603</v>
      </c>
    </row>
    <row r="935" spans="1:14" x14ac:dyDescent="0.3">
      <c r="A935" s="1" t="str">
        <f>"18_617-11/2024/М"</f>
        <v>18_617-11/2024/М</v>
      </c>
      <c r="B935" s="6">
        <v>45603</v>
      </c>
      <c r="C935" s="1" t="str">
        <f>"00038"</f>
        <v>00038</v>
      </c>
      <c r="D93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35" s="1" t="s">
        <v>20</v>
      </c>
      <c r="F93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35" s="1" t="str">
        <f t="shared" si="124"/>
        <v>Фізична особа</v>
      </c>
      <c r="H935" s="1" t="s">
        <v>20</v>
      </c>
      <c r="I935" s="1" t="s">
        <v>20</v>
      </c>
      <c r="J935" s="1" t="str">
        <f t="shared" si="123"/>
        <v>Закрито</v>
      </c>
      <c r="K935" s="5">
        <v>45603</v>
      </c>
      <c r="L935" s="1" t="s">
        <v>20</v>
      </c>
      <c r="M935" s="1" t="s">
        <v>22</v>
      </c>
      <c r="N935" s="5">
        <v>45603</v>
      </c>
    </row>
    <row r="936" spans="1:14" x14ac:dyDescent="0.3">
      <c r="A936" s="1" t="str">
        <f>"4_1249/03193413-11/2024/Є"</f>
        <v>4_1249/03193413-11/2024/Є</v>
      </c>
      <c r="B936" s="6">
        <v>45603</v>
      </c>
      <c r="C936" s="1" t="str">
        <f>"00144"</f>
        <v>00144</v>
      </c>
      <c r="D936" s="2" t="str">
        <f>"Призначення державної допомоги при народженні дитини"</f>
        <v>Призначення державної допомоги при народженні дитини</v>
      </c>
      <c r="E936" s="1" t="str">
        <f>"03193413"</f>
        <v>03193413</v>
      </c>
      <c r="F93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936" s="1" t="str">
        <f t="shared" si="124"/>
        <v>Фізична особа</v>
      </c>
      <c r="H936" s="1" t="s">
        <v>20</v>
      </c>
      <c r="I936" s="1" t="s">
        <v>20</v>
      </c>
      <c r="J936" s="1" t="str">
        <f t="shared" si="123"/>
        <v>Закрито</v>
      </c>
      <c r="K936" s="5">
        <v>45616</v>
      </c>
      <c r="L936" s="1" t="s">
        <v>20</v>
      </c>
      <c r="M936" s="1" t="s">
        <v>22</v>
      </c>
      <c r="N936" s="5">
        <v>45616</v>
      </c>
    </row>
    <row r="937" spans="1:14" x14ac:dyDescent="0.3">
      <c r="A937" s="1" t="str">
        <f>"18_618-11/2024/М"</f>
        <v>18_618-11/2024/М</v>
      </c>
      <c r="B937" s="6">
        <v>45603</v>
      </c>
      <c r="C937" s="1" t="str">
        <f>"00038"</f>
        <v>00038</v>
      </c>
      <c r="D93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37" s="1" t="s">
        <v>20</v>
      </c>
      <c r="F93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37" s="1" t="str">
        <f t="shared" si="124"/>
        <v>Фізична особа</v>
      </c>
      <c r="H937" s="1" t="s">
        <v>20</v>
      </c>
      <c r="I937" s="1" t="s">
        <v>20</v>
      </c>
      <c r="J937" s="1" t="str">
        <f t="shared" si="123"/>
        <v>Закрито</v>
      </c>
      <c r="K937" s="5">
        <v>45603</v>
      </c>
      <c r="L937" s="1" t="s">
        <v>20</v>
      </c>
      <c r="M937" s="1" t="s">
        <v>22</v>
      </c>
      <c r="N937" s="5">
        <v>45603</v>
      </c>
    </row>
    <row r="938" spans="1:14" x14ac:dyDescent="0.3">
      <c r="A938" s="1" t="str">
        <f>"18_619-11/2024/М"</f>
        <v>18_619-11/2024/М</v>
      </c>
      <c r="B938" s="6">
        <v>45603</v>
      </c>
      <c r="C938" s="1" t="str">
        <f>"00038"</f>
        <v>00038</v>
      </c>
      <c r="D93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38" s="1" t="s">
        <v>20</v>
      </c>
      <c r="F93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38" s="1" t="str">
        <f t="shared" si="124"/>
        <v>Фізична особа</v>
      </c>
      <c r="H938" s="1" t="s">
        <v>20</v>
      </c>
      <c r="I938" s="1" t="s">
        <v>20</v>
      </c>
      <c r="J938" s="1" t="str">
        <f t="shared" si="123"/>
        <v>Закрито</v>
      </c>
      <c r="K938" s="5">
        <v>45603</v>
      </c>
      <c r="L938" s="1" t="s">
        <v>20</v>
      </c>
      <c r="M938" s="1" t="s">
        <v>22</v>
      </c>
      <c r="N938" s="5">
        <v>45603</v>
      </c>
    </row>
    <row r="939" spans="1:14" x14ac:dyDescent="0.3">
      <c r="A939" s="1" t="str">
        <f>"18_620-11/2024/Р"</f>
        <v>18_620-11/2024/Р</v>
      </c>
      <c r="B939" s="6">
        <v>45603</v>
      </c>
      <c r="C939" s="1" t="str">
        <f>"00038"</f>
        <v>00038</v>
      </c>
      <c r="D93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39" s="1" t="s">
        <v>20</v>
      </c>
      <c r="F93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39" s="1" t="str">
        <f t="shared" si="124"/>
        <v>Фізична особа</v>
      </c>
      <c r="H939" s="1" t="s">
        <v>20</v>
      </c>
      <c r="I939" s="1" t="s">
        <v>20</v>
      </c>
      <c r="J939" s="1" t="str">
        <f t="shared" si="123"/>
        <v>Закрито</v>
      </c>
      <c r="K939" s="5">
        <v>45604</v>
      </c>
      <c r="L939" s="1" t="s">
        <v>20</v>
      </c>
      <c r="M939" s="1" t="s">
        <v>22</v>
      </c>
      <c r="N939" s="5">
        <v>45604</v>
      </c>
    </row>
    <row r="940" spans="1:14" x14ac:dyDescent="0.3">
      <c r="A940" s="1" t="str">
        <f>"35_505-11/2024/Р"</f>
        <v>35_505-11/2024/Р</v>
      </c>
      <c r="B940" s="6">
        <v>45603</v>
      </c>
      <c r="C940" s="1" t="str">
        <f>"00133"</f>
        <v>00133</v>
      </c>
      <c r="D940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940" s="1" t="str">
        <f>"03193413"</f>
        <v>03193413</v>
      </c>
      <c r="F94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940" s="1" t="str">
        <f t="shared" si="124"/>
        <v>Фізична особа</v>
      </c>
      <c r="H940" s="1" t="s">
        <v>20</v>
      </c>
      <c r="I940" s="1" t="s">
        <v>20</v>
      </c>
      <c r="J940" s="1" t="str">
        <f>"На обробці в СНАП"</f>
        <v>На обробці в СНАП</v>
      </c>
      <c r="K940" s="1" t="s">
        <v>20</v>
      </c>
      <c r="L940" s="1" t="s">
        <v>20</v>
      </c>
      <c r="M940" s="1" t="s">
        <v>22</v>
      </c>
      <c r="N940" s="1" t="s">
        <v>20</v>
      </c>
    </row>
    <row r="941" spans="1:14" x14ac:dyDescent="0.3">
      <c r="A941" s="1" t="str">
        <f>"20_161-11/2024/П"</f>
        <v>20_161-11/2024/П</v>
      </c>
      <c r="B941" s="6">
        <v>45603</v>
      </c>
      <c r="C941" s="1" t="str">
        <f>"00038"</f>
        <v>00038</v>
      </c>
      <c r="D94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41" s="1" t="s">
        <v>20</v>
      </c>
      <c r="F94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41" s="1" t="str">
        <f t="shared" si="124"/>
        <v>Фізична особа</v>
      </c>
      <c r="H941" s="1" t="s">
        <v>20</v>
      </c>
      <c r="I941" s="1" t="s">
        <v>20</v>
      </c>
      <c r="J941" s="1" t="str">
        <f t="shared" ref="J941:J967" si="125">"Закрито"</f>
        <v>Закрито</v>
      </c>
      <c r="K941" s="5">
        <v>45603</v>
      </c>
      <c r="L941" s="1" t="s">
        <v>20</v>
      </c>
      <c r="M941" s="1" t="s">
        <v>22</v>
      </c>
      <c r="N941" s="5">
        <v>45603</v>
      </c>
    </row>
    <row r="942" spans="1:14" x14ac:dyDescent="0.3">
      <c r="A942" s="1" t="str">
        <f>"20_162-11/2024/П"</f>
        <v>20_162-11/2024/П</v>
      </c>
      <c r="B942" s="6">
        <v>45603</v>
      </c>
      <c r="C942" s="1" t="str">
        <f>"00038"</f>
        <v>00038</v>
      </c>
      <c r="D94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42" s="1" t="s">
        <v>20</v>
      </c>
      <c r="F94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42" s="1" t="str">
        <f t="shared" si="124"/>
        <v>Фізична особа</v>
      </c>
      <c r="H942" s="1" t="s">
        <v>20</v>
      </c>
      <c r="I942" s="1" t="s">
        <v>20</v>
      </c>
      <c r="J942" s="1" t="str">
        <f t="shared" si="125"/>
        <v>Закрито</v>
      </c>
      <c r="K942" s="5">
        <v>45603</v>
      </c>
      <c r="L942" s="1" t="s">
        <v>20</v>
      </c>
      <c r="M942" s="1" t="s">
        <v>22</v>
      </c>
      <c r="N942" s="5">
        <v>45603</v>
      </c>
    </row>
    <row r="943" spans="1:14" x14ac:dyDescent="0.3">
      <c r="A943" s="1" t="str">
        <f>"20_163-11/2024/С"</f>
        <v>20_163-11/2024/С</v>
      </c>
      <c r="B943" s="6">
        <v>45603</v>
      </c>
      <c r="C943" s="1" t="str">
        <f>"00155"</f>
        <v>00155</v>
      </c>
      <c r="D943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943" s="1" t="str">
        <f>"03193413"</f>
        <v>03193413</v>
      </c>
      <c r="F94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943" s="1" t="str">
        <f t="shared" si="124"/>
        <v>Фізична особа</v>
      </c>
      <c r="H943" s="1" t="s">
        <v>20</v>
      </c>
      <c r="I943" s="1" t="s">
        <v>20</v>
      </c>
      <c r="J943" s="1" t="str">
        <f t="shared" si="125"/>
        <v>Закрито</v>
      </c>
      <c r="K943" s="5">
        <v>45642</v>
      </c>
      <c r="L943" s="1" t="s">
        <v>20</v>
      </c>
      <c r="M943" s="1" t="s">
        <v>22</v>
      </c>
      <c r="N943" s="5">
        <v>45642</v>
      </c>
    </row>
    <row r="944" spans="1:14" x14ac:dyDescent="0.3">
      <c r="A944" s="1" t="str">
        <f>"21_643-11/2024/Л"</f>
        <v>21_643-11/2024/Л</v>
      </c>
      <c r="B944" s="6">
        <v>45603</v>
      </c>
      <c r="C944" s="1" t="str">
        <f>"33"</f>
        <v>33</v>
      </c>
      <c r="D944" s="2" t="str">
        <f>"33 Довідки різного характеру"</f>
        <v>33 Довідки різного характеру</v>
      </c>
      <c r="E944" s="1" t="s">
        <v>20</v>
      </c>
      <c r="F944" s="1" t="str">
        <f t="shared" ref="F944:F953" si="126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44" s="1" t="str">
        <f t="shared" si="124"/>
        <v>Фізична особа</v>
      </c>
      <c r="H944" s="1" t="s">
        <v>20</v>
      </c>
      <c r="I944" s="1" t="s">
        <v>20</v>
      </c>
      <c r="J944" s="1" t="str">
        <f t="shared" si="125"/>
        <v>Закрито</v>
      </c>
      <c r="K944" s="5">
        <v>45603</v>
      </c>
      <c r="L944" s="1" t="s">
        <v>20</v>
      </c>
      <c r="M944" s="1" t="s">
        <v>22</v>
      </c>
      <c r="N944" s="5">
        <v>45603</v>
      </c>
    </row>
    <row r="945" spans="1:14" x14ac:dyDescent="0.3">
      <c r="A945" s="1" t="str">
        <f>"24_329-11/2024/Д"</f>
        <v>24_329-11/2024/Д</v>
      </c>
      <c r="B945" s="6">
        <v>45603</v>
      </c>
      <c r="C945" s="1" t="str">
        <f>"00037"</f>
        <v>00037</v>
      </c>
      <c r="D945" s="2" t="str">
        <f>"Зняття з реєстрації місця проживання"</f>
        <v>Зняття з реєстрації місця проживання</v>
      </c>
      <c r="E945" s="1" t="s">
        <v>20</v>
      </c>
      <c r="F945" s="1" t="str">
        <f t="shared" si="126"/>
        <v>Центр надання адміністративних послуг Рогатинської міської ради</v>
      </c>
      <c r="G945" s="1" t="str">
        <f t="shared" si="124"/>
        <v>Фізична особа</v>
      </c>
      <c r="H945" s="1" t="s">
        <v>20</v>
      </c>
      <c r="I945" s="1" t="s">
        <v>20</v>
      </c>
      <c r="J945" s="1" t="str">
        <f t="shared" si="125"/>
        <v>Закрито</v>
      </c>
      <c r="K945" s="5">
        <v>45603</v>
      </c>
      <c r="L945" s="1" t="s">
        <v>20</v>
      </c>
      <c r="M945" s="1" t="s">
        <v>22</v>
      </c>
      <c r="N945" s="5">
        <v>45603</v>
      </c>
    </row>
    <row r="946" spans="1:14" x14ac:dyDescent="0.3">
      <c r="A946" s="1" t="str">
        <f>"20_164-11/2024/Д"</f>
        <v>20_164-11/2024/Д</v>
      </c>
      <c r="B946" s="6">
        <v>45603</v>
      </c>
      <c r="C946" s="1" t="str">
        <f>"01313"</f>
        <v>01313</v>
      </c>
      <c r="D946" s="2" t="str">
        <f>"Видача довідки про підтвердження місця проживання померлого"</f>
        <v>Видача довідки про підтвердження місця проживання померлого</v>
      </c>
      <c r="E946" s="1" t="s">
        <v>20</v>
      </c>
      <c r="F946" s="1" t="str">
        <f t="shared" si="126"/>
        <v>Центр надання адміністративних послуг Рогатинської міської ради</v>
      </c>
      <c r="G946" s="1" t="str">
        <f>"Юридична особа"</f>
        <v>Юридична особа</v>
      </c>
      <c r="H946" s="1" t="str">
        <f>"Державний нотаріус"</f>
        <v>Державний нотаріус</v>
      </c>
      <c r="I946" s="1" t="str">
        <f>"02891931"</f>
        <v>02891931</v>
      </c>
      <c r="J946" s="1" t="str">
        <f t="shared" si="125"/>
        <v>Закрито</v>
      </c>
      <c r="K946" s="5">
        <v>45603</v>
      </c>
      <c r="L946" s="1" t="s">
        <v>20</v>
      </c>
      <c r="M946" s="1" t="s">
        <v>22</v>
      </c>
      <c r="N946" s="5">
        <v>45603</v>
      </c>
    </row>
    <row r="947" spans="1:14" x14ac:dyDescent="0.3">
      <c r="A947" s="1" t="str">
        <f>"3_1336/2129-11/2024/Д"</f>
        <v>3_1336/2129-11/2024/Д</v>
      </c>
      <c r="B947" s="6">
        <v>45603</v>
      </c>
      <c r="C947" s="1" t="str">
        <f>"00038"</f>
        <v>00038</v>
      </c>
      <c r="D94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47" s="1" t="s">
        <v>20</v>
      </c>
      <c r="F947" s="1" t="str">
        <f t="shared" si="126"/>
        <v>Центр надання адміністративних послуг Рогатинської міської ради</v>
      </c>
      <c r="G947" s="1" t="str">
        <f t="shared" ref="G947:G969" si="127">"Фізична особа"</f>
        <v>Фізична особа</v>
      </c>
      <c r="H947" s="1" t="s">
        <v>20</v>
      </c>
      <c r="I947" s="1" t="s">
        <v>20</v>
      </c>
      <c r="J947" s="1" t="str">
        <f t="shared" si="125"/>
        <v>Закрито</v>
      </c>
      <c r="K947" s="5">
        <v>45603</v>
      </c>
      <c r="L947" s="1" t="s">
        <v>20</v>
      </c>
      <c r="M947" s="1" t="s">
        <v>22</v>
      </c>
      <c r="N947" s="5">
        <v>45603</v>
      </c>
    </row>
    <row r="948" spans="1:14" x14ac:dyDescent="0.3">
      <c r="A948" s="1" t="str">
        <f>"1_5697/2129-11/2024/Д"</f>
        <v>1_5697/2129-11/2024/Д</v>
      </c>
      <c r="B948" s="6">
        <v>45603</v>
      </c>
      <c r="C948" s="1" t="str">
        <f>"00038"</f>
        <v>00038</v>
      </c>
      <c r="D94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48" s="1" t="s">
        <v>20</v>
      </c>
      <c r="F948" s="1" t="str">
        <f t="shared" si="126"/>
        <v>Центр надання адміністративних послуг Рогатинської міської ради</v>
      </c>
      <c r="G948" s="1" t="str">
        <f t="shared" si="127"/>
        <v>Фізична особа</v>
      </c>
      <c r="H948" s="1" t="s">
        <v>20</v>
      </c>
      <c r="I948" s="1" t="s">
        <v>20</v>
      </c>
      <c r="J948" s="1" t="str">
        <f t="shared" si="125"/>
        <v>Закрито</v>
      </c>
      <c r="K948" s="6">
        <v>45603</v>
      </c>
      <c r="L948" s="1" t="s">
        <v>20</v>
      </c>
      <c r="M948" s="1" t="s">
        <v>22</v>
      </c>
      <c r="N948" s="5">
        <v>45603</v>
      </c>
    </row>
    <row r="949" spans="1:14" x14ac:dyDescent="0.3">
      <c r="A949" s="1" t="str">
        <f>"1_5698/2129-11/2024/Д"</f>
        <v>1_5698/2129-11/2024/Д</v>
      </c>
      <c r="B949" s="6">
        <v>45603</v>
      </c>
      <c r="C949" s="1" t="str">
        <f>"00038"</f>
        <v>00038</v>
      </c>
      <c r="D94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49" s="1" t="s">
        <v>20</v>
      </c>
      <c r="F949" s="1" t="str">
        <f t="shared" si="126"/>
        <v>Центр надання адміністративних послуг Рогатинської міської ради</v>
      </c>
      <c r="G949" s="1" t="str">
        <f t="shared" si="127"/>
        <v>Фізична особа</v>
      </c>
      <c r="H949" s="1" t="s">
        <v>20</v>
      </c>
      <c r="I949" s="1" t="s">
        <v>20</v>
      </c>
      <c r="J949" s="1" t="str">
        <f t="shared" si="125"/>
        <v>Закрито</v>
      </c>
      <c r="K949" s="6">
        <v>45603</v>
      </c>
      <c r="L949" s="1" t="s">
        <v>20</v>
      </c>
      <c r="M949" s="1" t="s">
        <v>22</v>
      </c>
      <c r="N949" s="5">
        <v>45603</v>
      </c>
    </row>
    <row r="950" spans="1:14" x14ac:dyDescent="0.3">
      <c r="A950" s="1" t="str">
        <f>"1_5699/2129-11/2024/К"</f>
        <v>1_5699/2129-11/2024/К</v>
      </c>
      <c r="B950" s="6">
        <v>45603</v>
      </c>
      <c r="C950" s="1" t="str">
        <f>"00038"</f>
        <v>00038</v>
      </c>
      <c r="D95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50" s="1" t="s">
        <v>20</v>
      </c>
      <c r="F950" s="1" t="str">
        <f t="shared" si="126"/>
        <v>Центр надання адміністративних послуг Рогатинської міської ради</v>
      </c>
      <c r="G950" s="1" t="str">
        <f t="shared" si="127"/>
        <v>Фізична особа</v>
      </c>
      <c r="H950" s="1" t="s">
        <v>20</v>
      </c>
      <c r="I950" s="1" t="s">
        <v>20</v>
      </c>
      <c r="J950" s="1" t="str">
        <f t="shared" si="125"/>
        <v>Закрито</v>
      </c>
      <c r="K950" s="6">
        <v>45603</v>
      </c>
      <c r="L950" s="1" t="s">
        <v>20</v>
      </c>
      <c r="M950" s="1" t="s">
        <v>22</v>
      </c>
      <c r="N950" s="5">
        <v>45603</v>
      </c>
    </row>
    <row r="951" spans="1:14" x14ac:dyDescent="0.3">
      <c r="A951" s="1" t="str">
        <f>"30_607-11/2024/Я"</f>
        <v>30_607-11/2024/Я</v>
      </c>
      <c r="B951" s="6">
        <v>45603</v>
      </c>
      <c r="C951" s="1" t="str">
        <f>"33"</f>
        <v>33</v>
      </c>
      <c r="D951" s="2" t="str">
        <f>"33 Довідки різного характеру"</f>
        <v>33 Довідки різного характеру</v>
      </c>
      <c r="E951" s="1" t="s">
        <v>20</v>
      </c>
      <c r="F951" s="1" t="str">
        <f t="shared" si="126"/>
        <v>Центр надання адміністративних послуг Рогатинської міської ради</v>
      </c>
      <c r="G951" s="1" t="str">
        <f t="shared" si="127"/>
        <v>Фізична особа</v>
      </c>
      <c r="H951" s="1" t="s">
        <v>20</v>
      </c>
      <c r="I951" s="1" t="s">
        <v>20</v>
      </c>
      <c r="J951" s="1" t="str">
        <f t="shared" si="125"/>
        <v>Закрито</v>
      </c>
      <c r="K951" s="5">
        <v>45603</v>
      </c>
      <c r="L951" s="1" t="s">
        <v>20</v>
      </c>
      <c r="M951" s="1" t="s">
        <v>22</v>
      </c>
      <c r="N951" s="5">
        <v>45603</v>
      </c>
    </row>
    <row r="952" spans="1:14" x14ac:dyDescent="0.3">
      <c r="A952" s="1" t="str">
        <f>"3_832-11/2024/Х"</f>
        <v>3_832-11/2024/Х</v>
      </c>
      <c r="B952" s="6">
        <v>45603</v>
      </c>
      <c r="C952" s="1" t="str">
        <f>"33"</f>
        <v>33</v>
      </c>
      <c r="D952" s="2" t="str">
        <f>"33 Довідки різного характеру"</f>
        <v>33 Довідки різного характеру</v>
      </c>
      <c r="E952" s="1" t="s">
        <v>20</v>
      </c>
      <c r="F952" s="1" t="str">
        <f t="shared" si="126"/>
        <v>Центр надання адміністративних послуг Рогатинської міської ради</v>
      </c>
      <c r="G952" s="1" t="str">
        <f t="shared" si="127"/>
        <v>Фізична особа</v>
      </c>
      <c r="H952" s="1" t="s">
        <v>20</v>
      </c>
      <c r="I952" s="1" t="s">
        <v>20</v>
      </c>
      <c r="J952" s="1" t="str">
        <f t="shared" si="125"/>
        <v>Закрито</v>
      </c>
      <c r="K952" s="5">
        <v>45603</v>
      </c>
      <c r="L952" s="1" t="s">
        <v>20</v>
      </c>
      <c r="M952" s="1" t="s">
        <v>22</v>
      </c>
      <c r="N952" s="5">
        <v>45603</v>
      </c>
    </row>
    <row r="953" spans="1:14" x14ac:dyDescent="0.3">
      <c r="A953" s="1" t="str">
        <f>"1_5700/2129-11/2024/С"</f>
        <v>1_5700/2129-11/2024/С</v>
      </c>
      <c r="B953" s="6">
        <v>45603</v>
      </c>
      <c r="C953" s="1" t="str">
        <f>"00038"</f>
        <v>00038</v>
      </c>
      <c r="D95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53" s="1" t="s">
        <v>20</v>
      </c>
      <c r="F953" s="1" t="str">
        <f t="shared" si="126"/>
        <v>Центр надання адміністративних послуг Рогатинської міської ради</v>
      </c>
      <c r="G953" s="1" t="str">
        <f t="shared" si="127"/>
        <v>Фізична особа</v>
      </c>
      <c r="H953" s="1" t="s">
        <v>20</v>
      </c>
      <c r="I953" s="1" t="s">
        <v>20</v>
      </c>
      <c r="J953" s="1" t="str">
        <f t="shared" si="125"/>
        <v>Закрито</v>
      </c>
      <c r="K953" s="6">
        <v>45603</v>
      </c>
      <c r="L953" s="1" t="s">
        <v>20</v>
      </c>
      <c r="M953" s="1" t="s">
        <v>22</v>
      </c>
      <c r="N953" s="5">
        <v>45603</v>
      </c>
    </row>
    <row r="954" spans="1:14" x14ac:dyDescent="0.3">
      <c r="A954" s="1" t="str">
        <f>"4_1250/03193413-11/2024/К"</f>
        <v>4_1250/03193413-11/2024/К</v>
      </c>
      <c r="B954" s="6">
        <v>45603</v>
      </c>
      <c r="C954" s="1" t="str">
        <f>"00242"</f>
        <v>00242</v>
      </c>
      <c r="D954" s="2" t="str">
        <f>"Видача посвідчення особам з інвалідністю з дитинства та дітям з інвалідністю"</f>
        <v>Видача посвідчення особам з інвалідністю з дитинства та дітям з інвалідністю</v>
      </c>
      <c r="E954" s="1" t="str">
        <f>"03193413"</f>
        <v>03193413</v>
      </c>
      <c r="F95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954" s="1" t="str">
        <f t="shared" si="127"/>
        <v>Фізична особа</v>
      </c>
      <c r="H954" s="1" t="s">
        <v>20</v>
      </c>
      <c r="I954" s="1" t="s">
        <v>20</v>
      </c>
      <c r="J954" s="1" t="str">
        <f t="shared" si="125"/>
        <v>Закрито</v>
      </c>
      <c r="K954" s="5">
        <v>45608</v>
      </c>
      <c r="L954" s="1" t="s">
        <v>20</v>
      </c>
      <c r="M954" s="1" t="s">
        <v>22</v>
      </c>
      <c r="N954" s="5">
        <v>45608</v>
      </c>
    </row>
    <row r="955" spans="1:14" x14ac:dyDescent="0.3">
      <c r="A955" s="1" t="str">
        <f>"20_165-11/2024/С"</f>
        <v>20_165-11/2024/С</v>
      </c>
      <c r="B955" s="6">
        <v>45603</v>
      </c>
      <c r="C955" s="1" t="str">
        <f>"33"</f>
        <v>33</v>
      </c>
      <c r="D955" s="2" t="str">
        <f>"33 Довідки різного характеру"</f>
        <v>33 Довідки різного характеру</v>
      </c>
      <c r="E955" s="1" t="s">
        <v>20</v>
      </c>
      <c r="F95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55" s="1" t="str">
        <f t="shared" si="127"/>
        <v>Фізична особа</v>
      </c>
      <c r="H955" s="1" t="s">
        <v>20</v>
      </c>
      <c r="I955" s="1" t="s">
        <v>20</v>
      </c>
      <c r="J955" s="1" t="str">
        <f t="shared" si="125"/>
        <v>Закрито</v>
      </c>
      <c r="K955" s="5">
        <v>45603</v>
      </c>
      <c r="L955" s="1" t="s">
        <v>20</v>
      </c>
      <c r="M955" s="1" t="s">
        <v>22</v>
      </c>
      <c r="N955" s="5">
        <v>45603</v>
      </c>
    </row>
    <row r="956" spans="1:14" x14ac:dyDescent="0.3">
      <c r="A956" s="1" t="str">
        <f>"20_166-11/2024/Ч"</f>
        <v>20_166-11/2024/Ч</v>
      </c>
      <c r="B956" s="6">
        <v>45603</v>
      </c>
      <c r="C956" s="1" t="str">
        <f>"33"</f>
        <v>33</v>
      </c>
      <c r="D956" s="2" t="str">
        <f>"33 Довідки різного характеру"</f>
        <v>33 Довідки різного характеру</v>
      </c>
      <c r="E956" s="1" t="s">
        <v>20</v>
      </c>
      <c r="F95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56" s="1" t="str">
        <f t="shared" si="127"/>
        <v>Фізична особа</v>
      </c>
      <c r="H956" s="1" t="s">
        <v>20</v>
      </c>
      <c r="I956" s="1" t="s">
        <v>20</v>
      </c>
      <c r="J956" s="1" t="str">
        <f t="shared" si="125"/>
        <v>Закрито</v>
      </c>
      <c r="K956" s="5">
        <v>45603</v>
      </c>
      <c r="L956" s="1" t="s">
        <v>20</v>
      </c>
      <c r="M956" s="1" t="s">
        <v>22</v>
      </c>
      <c r="N956" s="5">
        <v>45603</v>
      </c>
    </row>
    <row r="957" spans="1:14" x14ac:dyDescent="0.3">
      <c r="A957" s="1" t="str">
        <f>"20_167-11/2024/Ч"</f>
        <v>20_167-11/2024/Ч</v>
      </c>
      <c r="B957" s="6">
        <v>45603</v>
      </c>
      <c r="C957" s="1" t="str">
        <f>"00133"</f>
        <v>00133</v>
      </c>
      <c r="D957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957" s="1" t="str">
        <f>"03193413"</f>
        <v>03193413</v>
      </c>
      <c r="F95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957" s="1" t="str">
        <f t="shared" si="127"/>
        <v>Фізична особа</v>
      </c>
      <c r="H957" s="1" t="s">
        <v>20</v>
      </c>
      <c r="I957" s="1" t="s">
        <v>20</v>
      </c>
      <c r="J957" s="1" t="str">
        <f t="shared" si="125"/>
        <v>Закрито</v>
      </c>
      <c r="K957" s="5">
        <v>45611</v>
      </c>
      <c r="L957" s="1" t="s">
        <v>20</v>
      </c>
      <c r="M957" s="1" t="s">
        <v>22</v>
      </c>
      <c r="N957" s="5">
        <v>45611</v>
      </c>
    </row>
    <row r="958" spans="1:14" x14ac:dyDescent="0.3">
      <c r="A958" s="1" t="str">
        <f>"34_374-11/2024/В"</f>
        <v>34_374-11/2024/В</v>
      </c>
      <c r="B958" s="6">
        <v>45603</v>
      </c>
      <c r="C958" s="1" t="str">
        <f>"00155"</f>
        <v>00155</v>
      </c>
      <c r="D958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958" s="1" t="str">
        <f>"03193413"</f>
        <v>03193413</v>
      </c>
      <c r="F95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958" s="1" t="str">
        <f t="shared" si="127"/>
        <v>Фізична особа</v>
      </c>
      <c r="H958" s="1" t="s">
        <v>20</v>
      </c>
      <c r="I958" s="1" t="s">
        <v>20</v>
      </c>
      <c r="J958" s="1" t="str">
        <f t="shared" si="125"/>
        <v>Закрито</v>
      </c>
      <c r="K958" s="5">
        <v>45656</v>
      </c>
      <c r="L958" s="1" t="s">
        <v>20</v>
      </c>
      <c r="M958" s="1" t="s">
        <v>22</v>
      </c>
      <c r="N958" s="5">
        <v>45657</v>
      </c>
    </row>
    <row r="959" spans="1:14" x14ac:dyDescent="0.3">
      <c r="A959" s="1" t="str">
        <f>"34_375-11/2024/В"</f>
        <v>34_375-11/2024/В</v>
      </c>
      <c r="B959" s="6">
        <v>45603</v>
      </c>
      <c r="C959" s="1" t="str">
        <f>"00038"</f>
        <v>00038</v>
      </c>
      <c r="D95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59" s="1" t="s">
        <v>20</v>
      </c>
      <c r="F9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59" s="1" t="str">
        <f t="shared" si="127"/>
        <v>Фізична особа</v>
      </c>
      <c r="H959" s="1" t="s">
        <v>20</v>
      </c>
      <c r="I959" s="1" t="s">
        <v>20</v>
      </c>
      <c r="J959" s="1" t="str">
        <f t="shared" si="125"/>
        <v>Закрито</v>
      </c>
      <c r="K959" s="5">
        <v>45603</v>
      </c>
      <c r="L959" s="1" t="s">
        <v>20</v>
      </c>
      <c r="M959" s="1" t="s">
        <v>22</v>
      </c>
      <c r="N959" s="5">
        <v>45603</v>
      </c>
    </row>
    <row r="960" spans="1:14" x14ac:dyDescent="0.3">
      <c r="A960" s="1" t="str">
        <f>"34_376-11/2024/М"</f>
        <v>34_376-11/2024/М</v>
      </c>
      <c r="B960" s="6">
        <v>45603</v>
      </c>
      <c r="C960" s="1" t="str">
        <f>"00155"</f>
        <v>00155</v>
      </c>
      <c r="D960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960" s="1" t="str">
        <f>"03193413"</f>
        <v>03193413</v>
      </c>
      <c r="F96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960" s="1" t="str">
        <f t="shared" si="127"/>
        <v>Фізична особа</v>
      </c>
      <c r="H960" s="1" t="s">
        <v>20</v>
      </c>
      <c r="I960" s="1" t="s">
        <v>20</v>
      </c>
      <c r="J960" s="1" t="str">
        <f t="shared" si="125"/>
        <v>Закрито</v>
      </c>
      <c r="K960" s="5">
        <v>45656</v>
      </c>
      <c r="L960" s="1" t="s">
        <v>20</v>
      </c>
      <c r="M960" s="1" t="s">
        <v>22</v>
      </c>
      <c r="N960" s="5">
        <v>45657</v>
      </c>
    </row>
    <row r="961" spans="1:14" x14ac:dyDescent="0.3">
      <c r="A961" s="1" t="str">
        <f>"20_168-11/2024/М"</f>
        <v>20_168-11/2024/М</v>
      </c>
      <c r="B961" s="6">
        <v>45603</v>
      </c>
      <c r="C961" s="1" t="str">
        <f>"00038"</f>
        <v>00038</v>
      </c>
      <c r="D96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61" s="1" t="s">
        <v>20</v>
      </c>
      <c r="F96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61" s="1" t="str">
        <f t="shared" si="127"/>
        <v>Фізична особа</v>
      </c>
      <c r="H961" s="1" t="s">
        <v>20</v>
      </c>
      <c r="I961" s="1" t="s">
        <v>20</v>
      </c>
      <c r="J961" s="1" t="str">
        <f t="shared" si="125"/>
        <v>Закрито</v>
      </c>
      <c r="K961" s="5">
        <v>45603</v>
      </c>
      <c r="L961" s="1" t="s">
        <v>20</v>
      </c>
      <c r="M961" s="1" t="s">
        <v>22</v>
      </c>
      <c r="N961" s="5">
        <v>45603</v>
      </c>
    </row>
    <row r="962" spans="1:14" x14ac:dyDescent="0.3">
      <c r="A962" s="1" t="str">
        <f>"22_528-11/2024/Г"</f>
        <v>22_528-11/2024/Г</v>
      </c>
      <c r="B962" s="6">
        <v>45603</v>
      </c>
      <c r="C962" s="1" t="str">
        <f>"33"</f>
        <v>33</v>
      </c>
      <c r="D962" s="2" t="str">
        <f>"33 Довідки різного характеру"</f>
        <v>33 Довідки різного характеру</v>
      </c>
      <c r="E962" s="1" t="s">
        <v>20</v>
      </c>
      <c r="F96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62" s="1" t="str">
        <f t="shared" si="127"/>
        <v>Фізична особа</v>
      </c>
      <c r="H962" s="1" t="s">
        <v>20</v>
      </c>
      <c r="I962" s="1" t="s">
        <v>20</v>
      </c>
      <c r="J962" s="1" t="str">
        <f t="shared" si="125"/>
        <v>Закрито</v>
      </c>
      <c r="K962" s="5">
        <v>45603</v>
      </c>
      <c r="L962" s="1" t="s">
        <v>20</v>
      </c>
      <c r="M962" s="1" t="s">
        <v>22</v>
      </c>
      <c r="N962" s="5">
        <v>45603</v>
      </c>
    </row>
    <row r="963" spans="1:14" x14ac:dyDescent="0.3">
      <c r="A963" s="1" t="str">
        <f>"22_529-11/2024/Г"</f>
        <v>22_529-11/2024/Г</v>
      </c>
      <c r="B963" s="6">
        <v>45603</v>
      </c>
      <c r="C963" s="1" t="str">
        <f>"00064"</f>
        <v>00064</v>
      </c>
      <c r="D963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963" s="1" t="s">
        <v>20</v>
      </c>
      <c r="F963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963" s="1" t="str">
        <f t="shared" si="127"/>
        <v>Фізична особа</v>
      </c>
      <c r="H963" s="1" t="s">
        <v>20</v>
      </c>
      <c r="I963" s="1" t="s">
        <v>20</v>
      </c>
      <c r="J963" s="1" t="str">
        <f t="shared" si="125"/>
        <v>Закрито</v>
      </c>
      <c r="K963" s="5">
        <v>45603</v>
      </c>
      <c r="L963" s="1" t="s">
        <v>20</v>
      </c>
      <c r="M963" s="1" t="s">
        <v>22</v>
      </c>
      <c r="N963" s="5">
        <v>45603</v>
      </c>
    </row>
    <row r="964" spans="1:14" x14ac:dyDescent="0.3">
      <c r="A964" s="1" t="str">
        <f>"22_530-11/2024/М"</f>
        <v>22_530-11/2024/М</v>
      </c>
      <c r="B964" s="6">
        <v>45603</v>
      </c>
      <c r="C964" s="1" t="str">
        <f>"00064"</f>
        <v>00064</v>
      </c>
      <c r="D964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964" s="1" t="s">
        <v>20</v>
      </c>
      <c r="F964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964" s="1" t="str">
        <f t="shared" si="127"/>
        <v>Фізична особа</v>
      </c>
      <c r="H964" s="1" t="s">
        <v>20</v>
      </c>
      <c r="I964" s="1" t="s">
        <v>20</v>
      </c>
      <c r="J964" s="1" t="str">
        <f t="shared" si="125"/>
        <v>Закрито</v>
      </c>
      <c r="K964" s="5">
        <v>45603</v>
      </c>
      <c r="L964" s="1" t="s">
        <v>20</v>
      </c>
      <c r="M964" s="1" t="s">
        <v>22</v>
      </c>
      <c r="N964" s="5">
        <v>45603</v>
      </c>
    </row>
    <row r="965" spans="1:14" x14ac:dyDescent="0.3">
      <c r="A965" s="1" t="str">
        <f>"22_531-11/2024/Г"</f>
        <v>22_531-11/2024/Г</v>
      </c>
      <c r="B965" s="6">
        <v>45603</v>
      </c>
      <c r="C965" s="1" t="str">
        <f>"00038"</f>
        <v>00038</v>
      </c>
      <c r="D96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65" s="1" t="s">
        <v>20</v>
      </c>
      <c r="F96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65" s="1" t="str">
        <f t="shared" si="127"/>
        <v>Фізична особа</v>
      </c>
      <c r="H965" s="1" t="s">
        <v>20</v>
      </c>
      <c r="I965" s="1" t="s">
        <v>20</v>
      </c>
      <c r="J965" s="1" t="str">
        <f t="shared" si="125"/>
        <v>Закрито</v>
      </c>
      <c r="K965" s="5">
        <v>45603</v>
      </c>
      <c r="L965" s="1" t="s">
        <v>20</v>
      </c>
      <c r="M965" s="1" t="s">
        <v>22</v>
      </c>
      <c r="N965" s="5">
        <v>45603</v>
      </c>
    </row>
    <row r="966" spans="1:14" x14ac:dyDescent="0.3">
      <c r="A966" s="1" t="str">
        <f>"22_532-11/2024/Г"</f>
        <v>22_532-11/2024/Г</v>
      </c>
      <c r="B966" s="6">
        <v>45603</v>
      </c>
      <c r="C966" s="1" t="str">
        <f>"00038"</f>
        <v>00038</v>
      </c>
      <c r="D96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66" s="1" t="s">
        <v>20</v>
      </c>
      <c r="F96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66" s="1" t="str">
        <f t="shared" si="127"/>
        <v>Фізична особа</v>
      </c>
      <c r="H966" s="1" t="s">
        <v>20</v>
      </c>
      <c r="I966" s="1" t="s">
        <v>20</v>
      </c>
      <c r="J966" s="1" t="str">
        <f t="shared" si="125"/>
        <v>Закрито</v>
      </c>
      <c r="K966" s="5">
        <v>45603</v>
      </c>
      <c r="L966" s="1" t="s">
        <v>20</v>
      </c>
      <c r="M966" s="1" t="s">
        <v>22</v>
      </c>
      <c r="N966" s="5">
        <v>45603</v>
      </c>
    </row>
    <row r="967" spans="1:14" x14ac:dyDescent="0.3">
      <c r="A967" s="1" t="str">
        <f>"22_533-11/2024/Г"</f>
        <v>22_533-11/2024/Г</v>
      </c>
      <c r="B967" s="6">
        <v>45603</v>
      </c>
      <c r="C967" s="1" t="str">
        <f>"00038"</f>
        <v>00038</v>
      </c>
      <c r="D96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67" s="1" t="s">
        <v>20</v>
      </c>
      <c r="F96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67" s="1" t="str">
        <f t="shared" si="127"/>
        <v>Фізична особа</v>
      </c>
      <c r="H967" s="1" t="s">
        <v>20</v>
      </c>
      <c r="I967" s="1" t="s">
        <v>20</v>
      </c>
      <c r="J967" s="1" t="str">
        <f t="shared" si="125"/>
        <v>Закрито</v>
      </c>
      <c r="K967" s="5">
        <v>45603</v>
      </c>
      <c r="L967" s="1" t="s">
        <v>20</v>
      </c>
      <c r="M967" s="1" t="s">
        <v>22</v>
      </c>
      <c r="N967" s="5">
        <v>45603</v>
      </c>
    </row>
    <row r="968" spans="1:14" x14ac:dyDescent="0.3">
      <c r="A968" s="1" t="str">
        <f>"22_534-11/2024/Г"</f>
        <v>22_534-11/2024/Г</v>
      </c>
      <c r="B968" s="6">
        <v>45603</v>
      </c>
      <c r="C968" s="1" t="str">
        <f>"00133"</f>
        <v>00133</v>
      </c>
      <c r="D968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968" s="1" t="str">
        <f>"03193413"</f>
        <v>03193413</v>
      </c>
      <c r="F96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968" s="1" t="str">
        <f t="shared" si="127"/>
        <v>Фізична особа</v>
      </c>
      <c r="H968" s="1" t="s">
        <v>20</v>
      </c>
      <c r="I968" s="1" t="s">
        <v>20</v>
      </c>
      <c r="J968" s="1" t="str">
        <f>"На обробці в СНАП"</f>
        <v>На обробці в СНАП</v>
      </c>
      <c r="K968" s="1" t="s">
        <v>20</v>
      </c>
      <c r="L968" s="1" t="s">
        <v>20</v>
      </c>
      <c r="M968" s="1" t="s">
        <v>22</v>
      </c>
      <c r="N968" s="1" t="s">
        <v>20</v>
      </c>
    </row>
    <row r="969" spans="1:14" x14ac:dyDescent="0.3">
      <c r="A969" s="1" t="str">
        <f>"22_535-11/2024/Д"</f>
        <v>22_535-11/2024/Д</v>
      </c>
      <c r="B969" s="6">
        <v>45603</v>
      </c>
      <c r="C969" s="1" t="str">
        <f>"00155"</f>
        <v>00155</v>
      </c>
      <c r="D969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969" s="1" t="str">
        <f>"03193413"</f>
        <v>03193413</v>
      </c>
      <c r="F96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969" s="1" t="str">
        <f t="shared" si="127"/>
        <v>Фізична особа</v>
      </c>
      <c r="H969" s="1" t="s">
        <v>20</v>
      </c>
      <c r="I969" s="1" t="s">
        <v>20</v>
      </c>
      <c r="J969" s="1" t="str">
        <f>"На обробці в СНАП"</f>
        <v>На обробці в СНАП</v>
      </c>
      <c r="K969" s="1" t="s">
        <v>20</v>
      </c>
      <c r="L969" s="1" t="s">
        <v>20</v>
      </c>
      <c r="M969" s="1" t="s">
        <v>22</v>
      </c>
      <c r="N969" s="1" t="s">
        <v>20</v>
      </c>
    </row>
    <row r="970" spans="1:14" x14ac:dyDescent="0.3">
      <c r="A970" s="1" t="str">
        <f>"22_536-11/2024/П"</f>
        <v>22_536-11/2024/П</v>
      </c>
      <c r="B970" s="6">
        <v>45603</v>
      </c>
      <c r="C970" s="1" t="str">
        <f>"01245"</f>
        <v>01245</v>
      </c>
      <c r="D970" s="2" t="str">
        <f>"Видача довідки про реєстрацію/останнє місце проживання спадкодавця (довідка для оформлення спадщини)"</f>
        <v>Видача довідки про реєстрацію/останнє місце проживання спадкодавця (довідка для оформлення спадщини)</v>
      </c>
      <c r="E970" s="1" t="s">
        <v>20</v>
      </c>
      <c r="F970" s="1" t="str">
        <f t="shared" ref="F970:F979" si="128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70" s="1" t="str">
        <f>"Юридична особа"</f>
        <v>Юридична особа</v>
      </c>
      <c r="H970" s="1" t="str">
        <f>"Приватний нотаріус Дзера Маряна Любомирівна"</f>
        <v>Приватний нотаріус Дзера Маряна Любомирівна</v>
      </c>
      <c r="I970" s="1" t="s">
        <v>20</v>
      </c>
      <c r="J970" s="1" t="str">
        <f t="shared" ref="J970:J1010" si="129">"Закрито"</f>
        <v>Закрито</v>
      </c>
      <c r="K970" s="5">
        <v>45603</v>
      </c>
      <c r="L970" s="1" t="s">
        <v>20</v>
      </c>
      <c r="M970" s="1" t="s">
        <v>22</v>
      </c>
      <c r="N970" s="5">
        <v>45603</v>
      </c>
    </row>
    <row r="971" spans="1:14" x14ac:dyDescent="0.3">
      <c r="A971" s="1" t="str">
        <f>"1_5701/2129-11/2024/С"</f>
        <v>1_5701/2129-11/2024/С</v>
      </c>
      <c r="B971" s="6">
        <v>45604</v>
      </c>
      <c r="C971" s="1" t="str">
        <f t="shared" ref="C971:C977" si="130">"00038"</f>
        <v>00038</v>
      </c>
      <c r="D971" s="2" t="str">
        <f t="shared" ref="D971:D977" si="131"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71" s="1" t="s">
        <v>20</v>
      </c>
      <c r="F971" s="1" t="str">
        <f t="shared" si="128"/>
        <v>Центр надання адміністративних послуг Рогатинської міської ради</v>
      </c>
      <c r="G971" s="1" t="str">
        <f t="shared" ref="G971:G988" si="132">"Фізична особа"</f>
        <v>Фізична особа</v>
      </c>
      <c r="H971" s="1" t="s">
        <v>20</v>
      </c>
      <c r="I971" s="1" t="s">
        <v>20</v>
      </c>
      <c r="J971" s="1" t="str">
        <f t="shared" si="129"/>
        <v>Закрито</v>
      </c>
      <c r="K971" s="6">
        <v>45604</v>
      </c>
      <c r="L971" s="1" t="s">
        <v>20</v>
      </c>
      <c r="M971" s="1" t="s">
        <v>22</v>
      </c>
      <c r="N971" s="5">
        <v>45604</v>
      </c>
    </row>
    <row r="972" spans="1:14" x14ac:dyDescent="0.3">
      <c r="A972" s="1" t="str">
        <f>"1_5702/2129-11/2024/М"</f>
        <v>1_5702/2129-11/2024/М</v>
      </c>
      <c r="B972" s="6">
        <v>45604</v>
      </c>
      <c r="C972" s="1" t="str">
        <f t="shared" si="130"/>
        <v>00038</v>
      </c>
      <c r="D972" s="2" t="str">
        <f t="shared" si="131"/>
        <v>Видача довідки про реєстрацію місця проживання або місця перебування особи</v>
      </c>
      <c r="E972" s="1" t="s">
        <v>20</v>
      </c>
      <c r="F972" s="1" t="str">
        <f t="shared" si="128"/>
        <v>Центр надання адміністративних послуг Рогатинської міської ради</v>
      </c>
      <c r="G972" s="1" t="str">
        <f t="shared" si="132"/>
        <v>Фізична особа</v>
      </c>
      <c r="H972" s="1" t="s">
        <v>20</v>
      </c>
      <c r="I972" s="1" t="s">
        <v>20</v>
      </c>
      <c r="J972" s="1" t="str">
        <f t="shared" si="129"/>
        <v>Закрито</v>
      </c>
      <c r="K972" s="6">
        <v>45604</v>
      </c>
      <c r="L972" s="1" t="s">
        <v>20</v>
      </c>
      <c r="M972" s="1" t="s">
        <v>22</v>
      </c>
      <c r="N972" s="5">
        <v>45604</v>
      </c>
    </row>
    <row r="973" spans="1:14" x14ac:dyDescent="0.3">
      <c r="A973" s="1" t="str">
        <f>"1_5703/2129-11/2024/С"</f>
        <v>1_5703/2129-11/2024/С</v>
      </c>
      <c r="B973" s="6">
        <v>45604</v>
      </c>
      <c r="C973" s="1" t="str">
        <f t="shared" si="130"/>
        <v>00038</v>
      </c>
      <c r="D973" s="2" t="str">
        <f t="shared" si="131"/>
        <v>Видача довідки про реєстрацію місця проживання або місця перебування особи</v>
      </c>
      <c r="E973" s="1" t="s">
        <v>20</v>
      </c>
      <c r="F973" s="1" t="str">
        <f t="shared" si="128"/>
        <v>Центр надання адміністративних послуг Рогатинської міської ради</v>
      </c>
      <c r="G973" s="1" t="str">
        <f t="shared" si="132"/>
        <v>Фізична особа</v>
      </c>
      <c r="H973" s="1" t="s">
        <v>20</v>
      </c>
      <c r="I973" s="1" t="s">
        <v>20</v>
      </c>
      <c r="J973" s="1" t="str">
        <f t="shared" si="129"/>
        <v>Закрито</v>
      </c>
      <c r="K973" s="6">
        <v>45604</v>
      </c>
      <c r="L973" s="1" t="s">
        <v>20</v>
      </c>
      <c r="M973" s="1" t="s">
        <v>22</v>
      </c>
      <c r="N973" s="5">
        <v>45604</v>
      </c>
    </row>
    <row r="974" spans="1:14" x14ac:dyDescent="0.3">
      <c r="A974" s="1" t="str">
        <f>"1_5704/2129-11/2024/К"</f>
        <v>1_5704/2129-11/2024/К</v>
      </c>
      <c r="B974" s="6">
        <v>45604</v>
      </c>
      <c r="C974" s="1" t="str">
        <f t="shared" si="130"/>
        <v>00038</v>
      </c>
      <c r="D974" s="2" t="str">
        <f t="shared" si="131"/>
        <v>Видача довідки про реєстрацію місця проживання або місця перебування особи</v>
      </c>
      <c r="E974" s="1" t="s">
        <v>20</v>
      </c>
      <c r="F974" s="1" t="str">
        <f t="shared" si="128"/>
        <v>Центр надання адміністративних послуг Рогатинської міської ради</v>
      </c>
      <c r="G974" s="1" t="str">
        <f t="shared" si="132"/>
        <v>Фізична особа</v>
      </c>
      <c r="H974" s="1" t="s">
        <v>20</v>
      </c>
      <c r="I974" s="1" t="s">
        <v>20</v>
      </c>
      <c r="J974" s="1" t="str">
        <f t="shared" si="129"/>
        <v>Закрито</v>
      </c>
      <c r="K974" s="6">
        <v>45604</v>
      </c>
      <c r="L974" s="1" t="s">
        <v>20</v>
      </c>
      <c r="M974" s="1" t="s">
        <v>22</v>
      </c>
      <c r="N974" s="5">
        <v>45604</v>
      </c>
    </row>
    <row r="975" spans="1:14" x14ac:dyDescent="0.3">
      <c r="A975" s="1" t="str">
        <f>"1_5705/2129-11/2024/С"</f>
        <v>1_5705/2129-11/2024/С</v>
      </c>
      <c r="B975" s="6">
        <v>45604</v>
      </c>
      <c r="C975" s="1" t="str">
        <f t="shared" si="130"/>
        <v>00038</v>
      </c>
      <c r="D975" s="2" t="str">
        <f t="shared" si="131"/>
        <v>Видача довідки про реєстрацію місця проживання або місця перебування особи</v>
      </c>
      <c r="E975" s="1" t="s">
        <v>20</v>
      </c>
      <c r="F975" s="1" t="str">
        <f t="shared" si="128"/>
        <v>Центр надання адміністративних послуг Рогатинської міської ради</v>
      </c>
      <c r="G975" s="1" t="str">
        <f t="shared" si="132"/>
        <v>Фізична особа</v>
      </c>
      <c r="H975" s="1" t="s">
        <v>20</v>
      </c>
      <c r="I975" s="1" t="s">
        <v>20</v>
      </c>
      <c r="J975" s="1" t="str">
        <f t="shared" si="129"/>
        <v>Закрито</v>
      </c>
      <c r="K975" s="6">
        <v>45604</v>
      </c>
      <c r="L975" s="1" t="s">
        <v>20</v>
      </c>
      <c r="M975" s="1" t="s">
        <v>22</v>
      </c>
      <c r="N975" s="5">
        <v>45604</v>
      </c>
    </row>
    <row r="976" spans="1:14" x14ac:dyDescent="0.3">
      <c r="A976" s="1" t="str">
        <f>"1_5706/2129-11/2024/З"</f>
        <v>1_5706/2129-11/2024/З</v>
      </c>
      <c r="B976" s="6">
        <v>45604</v>
      </c>
      <c r="C976" s="1" t="str">
        <f t="shared" si="130"/>
        <v>00038</v>
      </c>
      <c r="D976" s="2" t="str">
        <f t="shared" si="131"/>
        <v>Видача довідки про реєстрацію місця проживання або місця перебування особи</v>
      </c>
      <c r="E976" s="1" t="s">
        <v>20</v>
      </c>
      <c r="F976" s="1" t="str">
        <f t="shared" si="128"/>
        <v>Центр надання адміністративних послуг Рогатинської міської ради</v>
      </c>
      <c r="G976" s="1" t="str">
        <f t="shared" si="132"/>
        <v>Фізична особа</v>
      </c>
      <c r="H976" s="1" t="s">
        <v>20</v>
      </c>
      <c r="I976" s="1" t="s">
        <v>20</v>
      </c>
      <c r="J976" s="1" t="str">
        <f t="shared" si="129"/>
        <v>Закрито</v>
      </c>
      <c r="K976" s="6">
        <v>45604</v>
      </c>
      <c r="L976" s="1" t="s">
        <v>20</v>
      </c>
      <c r="M976" s="1" t="s">
        <v>22</v>
      </c>
      <c r="N976" s="5">
        <v>45604</v>
      </c>
    </row>
    <row r="977" spans="1:14" x14ac:dyDescent="0.3">
      <c r="A977" s="1" t="str">
        <f>"1_5707/2129-11/2024/Г"</f>
        <v>1_5707/2129-11/2024/Г</v>
      </c>
      <c r="B977" s="6">
        <v>45604</v>
      </c>
      <c r="C977" s="1" t="str">
        <f t="shared" si="130"/>
        <v>00038</v>
      </c>
      <c r="D977" s="2" t="str">
        <f t="shared" si="131"/>
        <v>Видача довідки про реєстрацію місця проживання або місця перебування особи</v>
      </c>
      <c r="E977" s="1" t="s">
        <v>20</v>
      </c>
      <c r="F977" s="1" t="str">
        <f t="shared" si="128"/>
        <v>Центр надання адміністративних послуг Рогатинської міської ради</v>
      </c>
      <c r="G977" s="1" t="str">
        <f t="shared" si="132"/>
        <v>Фізична особа</v>
      </c>
      <c r="H977" s="1" t="s">
        <v>20</v>
      </c>
      <c r="I977" s="1" t="s">
        <v>20</v>
      </c>
      <c r="J977" s="1" t="str">
        <f t="shared" si="129"/>
        <v>Закрито</v>
      </c>
      <c r="K977" s="6">
        <v>45604</v>
      </c>
      <c r="L977" s="1" t="s">
        <v>20</v>
      </c>
      <c r="M977" s="1" t="s">
        <v>22</v>
      </c>
      <c r="N977" s="5">
        <v>45604</v>
      </c>
    </row>
    <row r="978" spans="1:14" x14ac:dyDescent="0.3">
      <c r="A978" s="1" t="str">
        <f>"6_369-11/2024/Л"</f>
        <v>6_369-11/2024/Л</v>
      </c>
      <c r="B978" s="6">
        <v>45604</v>
      </c>
      <c r="C978" s="1" t="str">
        <f>"33"</f>
        <v>33</v>
      </c>
      <c r="D978" s="2" t="str">
        <f>"33 Довідки різного характеру"</f>
        <v>33 Довідки різного характеру</v>
      </c>
      <c r="E978" s="1" t="s">
        <v>20</v>
      </c>
      <c r="F978" s="1" t="str">
        <f t="shared" si="128"/>
        <v>Центр надання адміністративних послуг Рогатинської міської ради</v>
      </c>
      <c r="G978" s="1" t="str">
        <f t="shared" si="132"/>
        <v>Фізична особа</v>
      </c>
      <c r="H978" s="1" t="s">
        <v>20</v>
      </c>
      <c r="I978" s="1" t="s">
        <v>20</v>
      </c>
      <c r="J978" s="1" t="str">
        <f t="shared" si="129"/>
        <v>Закрито</v>
      </c>
      <c r="K978" s="5">
        <v>45604</v>
      </c>
      <c r="L978" s="1" t="s">
        <v>20</v>
      </c>
      <c r="M978" s="1" t="s">
        <v>22</v>
      </c>
      <c r="N978" s="5">
        <v>45604</v>
      </c>
    </row>
    <row r="979" spans="1:14" x14ac:dyDescent="0.3">
      <c r="A979" s="1" t="str">
        <f>"1_5708/2129-11/2024/Ш"</f>
        <v>1_5708/2129-11/2024/Ш</v>
      </c>
      <c r="B979" s="6">
        <v>45604</v>
      </c>
      <c r="C979" s="1" t="str">
        <f>"00038"</f>
        <v>00038</v>
      </c>
      <c r="D97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79" s="1" t="s">
        <v>20</v>
      </c>
      <c r="F979" s="1" t="str">
        <f t="shared" si="128"/>
        <v>Центр надання адміністративних послуг Рогатинської міської ради</v>
      </c>
      <c r="G979" s="1" t="str">
        <f t="shared" si="132"/>
        <v>Фізична особа</v>
      </c>
      <c r="H979" s="1" t="s">
        <v>20</v>
      </c>
      <c r="I979" s="1" t="s">
        <v>20</v>
      </c>
      <c r="J979" s="1" t="str">
        <f t="shared" si="129"/>
        <v>Закрито</v>
      </c>
      <c r="K979" s="6">
        <v>45604</v>
      </c>
      <c r="L979" s="1" t="s">
        <v>20</v>
      </c>
      <c r="M979" s="1" t="s">
        <v>22</v>
      </c>
      <c r="N979" s="5">
        <v>45604</v>
      </c>
    </row>
    <row r="980" spans="1:14" x14ac:dyDescent="0.3">
      <c r="A980" s="1" t="str">
        <f>"3_1337/4-11/2024/М"</f>
        <v>3_1337/4-11/2024/М</v>
      </c>
      <c r="B980" s="6">
        <v>45604</v>
      </c>
      <c r="C980" s="1" t="str">
        <f>"00060"</f>
        <v>00060</v>
      </c>
      <c r="D980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980" s="1" t="s">
        <v>20</v>
      </c>
      <c r="F980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980" s="1" t="str">
        <f t="shared" si="132"/>
        <v>Фізична особа</v>
      </c>
      <c r="H980" s="1" t="s">
        <v>20</v>
      </c>
      <c r="I980" s="1" t="s">
        <v>20</v>
      </c>
      <c r="J980" s="1" t="str">
        <f t="shared" si="129"/>
        <v>Закрито</v>
      </c>
      <c r="K980" s="5">
        <v>45604</v>
      </c>
      <c r="L980" s="1" t="str">
        <f>"151.4"</f>
        <v>151.4</v>
      </c>
      <c r="M980" s="1" t="s">
        <v>22</v>
      </c>
      <c r="N980" s="5">
        <v>45604</v>
      </c>
    </row>
    <row r="981" spans="1:14" x14ac:dyDescent="0.3">
      <c r="A981" s="1" t="str">
        <f>"1_5709/2129-11/2024/Х"</f>
        <v>1_5709/2129-11/2024/Х</v>
      </c>
      <c r="B981" s="6">
        <v>45604</v>
      </c>
      <c r="C981" s="1" t="str">
        <f>"00038"</f>
        <v>00038</v>
      </c>
      <c r="D98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81" s="1" t="s">
        <v>20</v>
      </c>
      <c r="F9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81" s="1" t="str">
        <f t="shared" si="132"/>
        <v>Фізична особа</v>
      </c>
      <c r="H981" s="1" t="s">
        <v>20</v>
      </c>
      <c r="I981" s="1" t="s">
        <v>20</v>
      </c>
      <c r="J981" s="1" t="str">
        <f t="shared" si="129"/>
        <v>Закрито</v>
      </c>
      <c r="K981" s="6">
        <v>45604</v>
      </c>
      <c r="L981" s="1" t="s">
        <v>20</v>
      </c>
      <c r="M981" s="1" t="s">
        <v>22</v>
      </c>
      <c r="N981" s="5">
        <v>45604</v>
      </c>
    </row>
    <row r="982" spans="1:14" x14ac:dyDescent="0.3">
      <c r="A982" s="1" t="str">
        <f>"3_1338/4-11/2024/М"</f>
        <v>3_1338/4-11/2024/М</v>
      </c>
      <c r="B982" s="6">
        <v>45604</v>
      </c>
      <c r="C982" s="1" t="str">
        <f>"00060"</f>
        <v>00060</v>
      </c>
      <c r="D982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982" s="1" t="s">
        <v>20</v>
      </c>
      <c r="F982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982" s="1" t="str">
        <f t="shared" si="132"/>
        <v>Фізична особа</v>
      </c>
      <c r="H982" s="1" t="s">
        <v>20</v>
      </c>
      <c r="I982" s="1" t="s">
        <v>20</v>
      </c>
      <c r="J982" s="1" t="str">
        <f t="shared" si="129"/>
        <v>Закрито</v>
      </c>
      <c r="K982" s="5">
        <v>45604</v>
      </c>
      <c r="L982" s="1" t="str">
        <f>"151.4"</f>
        <v>151.4</v>
      </c>
      <c r="M982" s="1" t="s">
        <v>22</v>
      </c>
      <c r="N982" s="5">
        <v>45604</v>
      </c>
    </row>
    <row r="983" spans="1:14" x14ac:dyDescent="0.3">
      <c r="A983" s="1" t="str">
        <f>"1_5710/2129-11/2024/Р"</f>
        <v>1_5710/2129-11/2024/Р</v>
      </c>
      <c r="B983" s="6">
        <v>45604</v>
      </c>
      <c r="C983" s="1" t="str">
        <f>"00038"</f>
        <v>00038</v>
      </c>
      <c r="D98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83" s="1" t="s">
        <v>20</v>
      </c>
      <c r="F98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83" s="1" t="str">
        <f t="shared" si="132"/>
        <v>Фізична особа</v>
      </c>
      <c r="H983" s="1" t="s">
        <v>20</v>
      </c>
      <c r="I983" s="1" t="s">
        <v>20</v>
      </c>
      <c r="J983" s="1" t="str">
        <f t="shared" si="129"/>
        <v>Закрито</v>
      </c>
      <c r="K983" s="6">
        <v>45604</v>
      </c>
      <c r="L983" s="1" t="s">
        <v>20</v>
      </c>
      <c r="M983" s="1" t="s">
        <v>22</v>
      </c>
      <c r="N983" s="5">
        <v>45604</v>
      </c>
    </row>
    <row r="984" spans="1:14" x14ac:dyDescent="0.3">
      <c r="A984" s="1" t="str">
        <f>"1_5711/2129-11/2024/Я"</f>
        <v>1_5711/2129-11/2024/Я</v>
      </c>
      <c r="B984" s="6">
        <v>45604</v>
      </c>
      <c r="C984" s="1" t="str">
        <f>"00038"</f>
        <v>00038</v>
      </c>
      <c r="D98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84" s="1" t="s">
        <v>20</v>
      </c>
      <c r="F98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84" s="1" t="str">
        <f t="shared" si="132"/>
        <v>Фізична особа</v>
      </c>
      <c r="H984" s="1" t="s">
        <v>20</v>
      </c>
      <c r="I984" s="1" t="s">
        <v>20</v>
      </c>
      <c r="J984" s="1" t="str">
        <f t="shared" si="129"/>
        <v>Закрито</v>
      </c>
      <c r="K984" s="6">
        <v>45604</v>
      </c>
      <c r="L984" s="1" t="s">
        <v>20</v>
      </c>
      <c r="M984" s="1" t="s">
        <v>22</v>
      </c>
      <c r="N984" s="5">
        <v>45604</v>
      </c>
    </row>
    <row r="985" spans="1:14" x14ac:dyDescent="0.3">
      <c r="A985" s="1" t="str">
        <f>"3_1339/4-11/2024/М"</f>
        <v>3_1339/4-11/2024/М</v>
      </c>
      <c r="B985" s="6">
        <v>45604</v>
      </c>
      <c r="C985" s="1" t="str">
        <f>"00060"</f>
        <v>00060</v>
      </c>
      <c r="D985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985" s="1" t="s">
        <v>20</v>
      </c>
      <c r="F985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985" s="1" t="str">
        <f t="shared" si="132"/>
        <v>Фізична особа</v>
      </c>
      <c r="H985" s="1" t="s">
        <v>20</v>
      </c>
      <c r="I985" s="1" t="s">
        <v>20</v>
      </c>
      <c r="J985" s="1" t="str">
        <f t="shared" si="129"/>
        <v>Закрито</v>
      </c>
      <c r="K985" s="5">
        <v>45604</v>
      </c>
      <c r="L985" s="1" t="str">
        <f>"151.4"</f>
        <v>151.4</v>
      </c>
      <c r="M985" s="1" t="s">
        <v>22</v>
      </c>
      <c r="N985" s="5">
        <v>45604</v>
      </c>
    </row>
    <row r="986" spans="1:14" x14ac:dyDescent="0.3">
      <c r="A986" s="1" t="str">
        <f>"1_5712/2129-11/2024/П"</f>
        <v>1_5712/2129-11/2024/П</v>
      </c>
      <c r="B986" s="6">
        <v>45604</v>
      </c>
      <c r="C986" s="1" t="str">
        <f>"00038"</f>
        <v>00038</v>
      </c>
      <c r="D98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86" s="1" t="s">
        <v>20</v>
      </c>
      <c r="F98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86" s="1" t="str">
        <f t="shared" si="132"/>
        <v>Фізична особа</v>
      </c>
      <c r="H986" s="1" t="s">
        <v>20</v>
      </c>
      <c r="I986" s="1" t="s">
        <v>20</v>
      </c>
      <c r="J986" s="1" t="str">
        <f t="shared" si="129"/>
        <v>Закрито</v>
      </c>
      <c r="K986" s="6">
        <v>45604</v>
      </c>
      <c r="L986" s="1" t="s">
        <v>20</v>
      </c>
      <c r="M986" s="1" t="s">
        <v>22</v>
      </c>
      <c r="N986" s="5">
        <v>45604</v>
      </c>
    </row>
    <row r="987" spans="1:14" x14ac:dyDescent="0.3">
      <c r="A987" s="1" t="str">
        <f>"1_5713/2129-11/2024/К"</f>
        <v>1_5713/2129-11/2024/К</v>
      </c>
      <c r="B987" s="6">
        <v>45604</v>
      </c>
      <c r="C987" s="1" t="str">
        <f>"00038"</f>
        <v>00038</v>
      </c>
      <c r="D98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87" s="1" t="s">
        <v>20</v>
      </c>
      <c r="F98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87" s="1" t="str">
        <f t="shared" si="132"/>
        <v>Фізична особа</v>
      </c>
      <c r="H987" s="1" t="s">
        <v>20</v>
      </c>
      <c r="I987" s="1" t="s">
        <v>20</v>
      </c>
      <c r="J987" s="1" t="str">
        <f t="shared" si="129"/>
        <v>Закрито</v>
      </c>
      <c r="K987" s="6">
        <v>45604</v>
      </c>
      <c r="L987" s="1" t="s">
        <v>20</v>
      </c>
      <c r="M987" s="1" t="s">
        <v>22</v>
      </c>
      <c r="N987" s="5">
        <v>45604</v>
      </c>
    </row>
    <row r="988" spans="1:14" x14ac:dyDescent="0.3">
      <c r="A988" s="1" t="str">
        <f>"3_1340/4-11/2024/М"</f>
        <v>3_1340/4-11/2024/М</v>
      </c>
      <c r="B988" s="6">
        <v>45604</v>
      </c>
      <c r="C988" s="1" t="str">
        <f>"00060"</f>
        <v>00060</v>
      </c>
      <c r="D988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988" s="1" t="s">
        <v>20</v>
      </c>
      <c r="F988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988" s="1" t="str">
        <f t="shared" si="132"/>
        <v>Фізична особа</v>
      </c>
      <c r="H988" s="1" t="s">
        <v>20</v>
      </c>
      <c r="I988" s="1" t="s">
        <v>20</v>
      </c>
      <c r="J988" s="1" t="str">
        <f t="shared" si="129"/>
        <v>Закрито</v>
      </c>
      <c r="K988" s="5">
        <v>45604</v>
      </c>
      <c r="L988" s="1" t="str">
        <f>"151.4"</f>
        <v>151.4</v>
      </c>
      <c r="M988" s="1" t="s">
        <v>22</v>
      </c>
      <c r="N988" s="5">
        <v>45604</v>
      </c>
    </row>
    <row r="989" spans="1:14" x14ac:dyDescent="0.3">
      <c r="A989" s="1" t="str">
        <f>"1_5714/2129-11/2024/Б"</f>
        <v>1_5714/2129-11/2024/Б</v>
      </c>
      <c r="B989" s="6">
        <v>45604</v>
      </c>
      <c r="C989" s="1" t="str">
        <f>"00037"</f>
        <v>00037</v>
      </c>
      <c r="D989" s="2" t="str">
        <f>"Зняття з реєстрації місця проживання"</f>
        <v>Зняття з реєстрації місця проживання</v>
      </c>
      <c r="E989" s="1" t="s">
        <v>20</v>
      </c>
      <c r="F98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89" s="1" t="str">
        <f>"Юридична особа"</f>
        <v>Юридична особа</v>
      </c>
      <c r="H989" s="1" t="str">
        <f>"Більшівцівська територіальна громада"</f>
        <v>Більшівцівська територіальна громада</v>
      </c>
      <c r="I989" s="1" t="s">
        <v>20</v>
      </c>
      <c r="J989" s="1" t="str">
        <f t="shared" si="129"/>
        <v>Закрито</v>
      </c>
      <c r="K989" s="6">
        <v>45604</v>
      </c>
      <c r="L989" s="1" t="s">
        <v>20</v>
      </c>
      <c r="M989" s="1" t="s">
        <v>22</v>
      </c>
      <c r="N989" s="5">
        <v>45604</v>
      </c>
    </row>
    <row r="990" spans="1:14" x14ac:dyDescent="0.3">
      <c r="A990" s="1" t="str">
        <f>"3_1341/4-11/2024/М"</f>
        <v>3_1341/4-11/2024/М</v>
      </c>
      <c r="B990" s="6">
        <v>45604</v>
      </c>
      <c r="C990" s="1" t="str">
        <f>"00060"</f>
        <v>00060</v>
      </c>
      <c r="D990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990" s="1" t="s">
        <v>20</v>
      </c>
      <c r="F990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990" s="1" t="str">
        <f t="shared" ref="G990:G1005" si="133">"Фізична особа"</f>
        <v>Фізична особа</v>
      </c>
      <c r="H990" s="1" t="s">
        <v>20</v>
      </c>
      <c r="I990" s="1" t="s">
        <v>20</v>
      </c>
      <c r="J990" s="1" t="str">
        <f t="shared" si="129"/>
        <v>Закрито</v>
      </c>
      <c r="K990" s="5">
        <v>45604</v>
      </c>
      <c r="L990" s="1" t="str">
        <f>"151.4"</f>
        <v>151.4</v>
      </c>
      <c r="M990" s="1" t="s">
        <v>22</v>
      </c>
      <c r="N990" s="5">
        <v>45604</v>
      </c>
    </row>
    <row r="991" spans="1:14" x14ac:dyDescent="0.3">
      <c r="A991" s="1" t="str">
        <f>"1_5715/2129-11/2024/Р"</f>
        <v>1_5715/2129-11/2024/Р</v>
      </c>
      <c r="B991" s="6">
        <v>45604</v>
      </c>
      <c r="C991" s="1" t="str">
        <f>"00038"</f>
        <v>00038</v>
      </c>
      <c r="D99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91" s="1" t="s">
        <v>20</v>
      </c>
      <c r="F99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91" s="1" t="str">
        <f t="shared" si="133"/>
        <v>Фізична особа</v>
      </c>
      <c r="H991" s="1" t="s">
        <v>20</v>
      </c>
      <c r="I991" s="1" t="s">
        <v>20</v>
      </c>
      <c r="J991" s="1" t="str">
        <f t="shared" si="129"/>
        <v>Закрито</v>
      </c>
      <c r="K991" s="6">
        <v>45604</v>
      </c>
      <c r="L991" s="1" t="s">
        <v>20</v>
      </c>
      <c r="M991" s="1" t="s">
        <v>22</v>
      </c>
      <c r="N991" s="5">
        <v>45604</v>
      </c>
    </row>
    <row r="992" spans="1:14" x14ac:dyDescent="0.3">
      <c r="A992" s="1" t="str">
        <f>"3_1342/4-11/2024/М"</f>
        <v>3_1342/4-11/2024/М</v>
      </c>
      <c r="B992" s="6">
        <v>45604</v>
      </c>
      <c r="C992" s="1" t="str">
        <f>"00060"</f>
        <v>00060</v>
      </c>
      <c r="D992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992" s="1" t="s">
        <v>20</v>
      </c>
      <c r="F992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992" s="1" t="str">
        <f t="shared" si="133"/>
        <v>Фізична особа</v>
      </c>
      <c r="H992" s="1" t="s">
        <v>20</v>
      </c>
      <c r="I992" s="1" t="s">
        <v>20</v>
      </c>
      <c r="J992" s="1" t="str">
        <f t="shared" si="129"/>
        <v>Закрито</v>
      </c>
      <c r="K992" s="5">
        <v>45604</v>
      </c>
      <c r="L992" s="1" t="str">
        <f>"151.4"</f>
        <v>151.4</v>
      </c>
      <c r="M992" s="1" t="s">
        <v>22</v>
      </c>
      <c r="N992" s="5">
        <v>45604</v>
      </c>
    </row>
    <row r="993" spans="1:14" x14ac:dyDescent="0.3">
      <c r="A993" s="1" t="str">
        <f>"1_5716/2129-11/2024/Б"</f>
        <v>1_5716/2129-11/2024/Б</v>
      </c>
      <c r="B993" s="6">
        <v>45604</v>
      </c>
      <c r="C993" s="1" t="str">
        <f>"00038"</f>
        <v>00038</v>
      </c>
      <c r="D99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93" s="1" t="s">
        <v>20</v>
      </c>
      <c r="F99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93" s="1" t="str">
        <f t="shared" si="133"/>
        <v>Фізична особа</v>
      </c>
      <c r="H993" s="1" t="s">
        <v>20</v>
      </c>
      <c r="I993" s="1" t="s">
        <v>20</v>
      </c>
      <c r="J993" s="1" t="str">
        <f t="shared" si="129"/>
        <v>Закрито</v>
      </c>
      <c r="K993" s="6">
        <v>45604</v>
      </c>
      <c r="L993" s="1" t="s">
        <v>20</v>
      </c>
      <c r="M993" s="1" t="s">
        <v>22</v>
      </c>
      <c r="N993" s="5">
        <v>45604</v>
      </c>
    </row>
    <row r="994" spans="1:14" x14ac:dyDescent="0.3">
      <c r="A994" s="1" t="str">
        <f>"3_1343/2129-11/2024/В"</f>
        <v>3_1343/2129-11/2024/В</v>
      </c>
      <c r="B994" s="6">
        <v>45604</v>
      </c>
      <c r="C994" s="1" t="str">
        <f>"00038"</f>
        <v>00038</v>
      </c>
      <c r="D99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94" s="1" t="s">
        <v>20</v>
      </c>
      <c r="F9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94" s="1" t="str">
        <f t="shared" si="133"/>
        <v>Фізична особа</v>
      </c>
      <c r="H994" s="1" t="s">
        <v>20</v>
      </c>
      <c r="I994" s="1" t="s">
        <v>20</v>
      </c>
      <c r="J994" s="1" t="str">
        <f t="shared" si="129"/>
        <v>Закрито</v>
      </c>
      <c r="K994" s="5">
        <v>45604</v>
      </c>
      <c r="L994" s="1" t="s">
        <v>20</v>
      </c>
      <c r="M994" s="1" t="s">
        <v>22</v>
      </c>
      <c r="N994" s="5">
        <v>45604</v>
      </c>
    </row>
    <row r="995" spans="1:14" x14ac:dyDescent="0.3">
      <c r="A995" s="1" t="str">
        <f>"3_1344/4-11/2024/К"</f>
        <v>3_1344/4-11/2024/К</v>
      </c>
      <c r="B995" s="6">
        <v>45604</v>
      </c>
      <c r="C995" s="1" t="str">
        <f>"00060"</f>
        <v>00060</v>
      </c>
      <c r="D995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995" s="1" t="s">
        <v>20</v>
      </c>
      <c r="F995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995" s="1" t="str">
        <f t="shared" si="133"/>
        <v>Фізична особа</v>
      </c>
      <c r="H995" s="1" t="s">
        <v>20</v>
      </c>
      <c r="I995" s="1" t="s">
        <v>20</v>
      </c>
      <c r="J995" s="1" t="str">
        <f t="shared" si="129"/>
        <v>Закрито</v>
      </c>
      <c r="K995" s="5">
        <v>45604</v>
      </c>
      <c r="L995" s="1" t="str">
        <f>"151.4"</f>
        <v>151.4</v>
      </c>
      <c r="M995" s="1" t="s">
        <v>22</v>
      </c>
      <c r="N995" s="5">
        <v>45604</v>
      </c>
    </row>
    <row r="996" spans="1:14" x14ac:dyDescent="0.3">
      <c r="A996" s="1" t="str">
        <f>"8_529-11/2024/В"</f>
        <v>8_529-11/2024/В</v>
      </c>
      <c r="B996" s="6">
        <v>45604</v>
      </c>
      <c r="C996" s="1" t="str">
        <f>"00038"</f>
        <v>00038</v>
      </c>
      <c r="D99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96" s="1" t="s">
        <v>20</v>
      </c>
      <c r="F99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96" s="1" t="str">
        <f t="shared" si="133"/>
        <v>Фізична особа</v>
      </c>
      <c r="H996" s="1" t="s">
        <v>20</v>
      </c>
      <c r="I996" s="1" t="s">
        <v>20</v>
      </c>
      <c r="J996" s="1" t="str">
        <f t="shared" si="129"/>
        <v>Закрито</v>
      </c>
      <c r="K996" s="5">
        <v>45604</v>
      </c>
      <c r="L996" s="1" t="s">
        <v>20</v>
      </c>
      <c r="M996" s="1" t="s">
        <v>22</v>
      </c>
      <c r="N996" s="5">
        <v>45604</v>
      </c>
    </row>
    <row r="997" spans="1:14" x14ac:dyDescent="0.3">
      <c r="A997" s="1" t="str">
        <f>"3_1345/4-11/2024/К"</f>
        <v>3_1345/4-11/2024/К</v>
      </c>
      <c r="B997" s="6">
        <v>45604</v>
      </c>
      <c r="C997" s="1" t="str">
        <f>"00060"</f>
        <v>00060</v>
      </c>
      <c r="D997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997" s="1" t="s">
        <v>20</v>
      </c>
      <c r="F997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997" s="1" t="str">
        <f t="shared" si="133"/>
        <v>Фізична особа</v>
      </c>
      <c r="H997" s="1" t="s">
        <v>20</v>
      </c>
      <c r="I997" s="1" t="s">
        <v>20</v>
      </c>
      <c r="J997" s="1" t="str">
        <f t="shared" si="129"/>
        <v>Закрито</v>
      </c>
      <c r="K997" s="5">
        <v>45604</v>
      </c>
      <c r="L997" s="1" t="str">
        <f>"151.4"</f>
        <v>151.4</v>
      </c>
      <c r="M997" s="1" t="s">
        <v>22</v>
      </c>
      <c r="N997" s="5">
        <v>45604</v>
      </c>
    </row>
    <row r="998" spans="1:14" x14ac:dyDescent="0.3">
      <c r="A998" s="1" t="str">
        <f>"8_530-11/2024/М"</f>
        <v>8_530-11/2024/М</v>
      </c>
      <c r="B998" s="6">
        <v>45604</v>
      </c>
      <c r="C998" s="1" t="str">
        <f>"00038"</f>
        <v>00038</v>
      </c>
      <c r="D99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98" s="1" t="s">
        <v>20</v>
      </c>
      <c r="F998" s="1" t="str">
        <f t="shared" ref="F998:F1003" si="134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998" s="1" t="str">
        <f t="shared" si="133"/>
        <v>Фізична особа</v>
      </c>
      <c r="H998" s="1" t="s">
        <v>20</v>
      </c>
      <c r="I998" s="1" t="s">
        <v>20</v>
      </c>
      <c r="J998" s="1" t="str">
        <f t="shared" si="129"/>
        <v>Закрито</v>
      </c>
      <c r="K998" s="5">
        <v>45604</v>
      </c>
      <c r="L998" s="1" t="s">
        <v>20</v>
      </c>
      <c r="M998" s="1" t="s">
        <v>22</v>
      </c>
      <c r="N998" s="5">
        <v>45604</v>
      </c>
    </row>
    <row r="999" spans="1:14" x14ac:dyDescent="0.3">
      <c r="A999" s="1" t="str">
        <f>"8_531-11/2024/Х"</f>
        <v>8_531-11/2024/Х</v>
      </c>
      <c r="B999" s="6">
        <v>45604</v>
      </c>
      <c r="C999" s="1" t="str">
        <f>"00038"</f>
        <v>00038</v>
      </c>
      <c r="D99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999" s="1" t="s">
        <v>20</v>
      </c>
      <c r="F999" s="1" t="str">
        <f t="shared" si="134"/>
        <v>Центр надання адміністративних послуг Рогатинської міської ради</v>
      </c>
      <c r="G999" s="1" t="str">
        <f t="shared" si="133"/>
        <v>Фізична особа</v>
      </c>
      <c r="H999" s="1" t="s">
        <v>20</v>
      </c>
      <c r="I999" s="1" t="s">
        <v>20</v>
      </c>
      <c r="J999" s="1" t="str">
        <f t="shared" si="129"/>
        <v>Закрито</v>
      </c>
      <c r="K999" s="5">
        <v>45604</v>
      </c>
      <c r="L999" s="1" t="s">
        <v>20</v>
      </c>
      <c r="M999" s="1" t="s">
        <v>22</v>
      </c>
      <c r="N999" s="5">
        <v>45604</v>
      </c>
    </row>
    <row r="1000" spans="1:14" x14ac:dyDescent="0.3">
      <c r="A1000" s="1" t="str">
        <f>"6_370-11/2024/Л"</f>
        <v>6_370-11/2024/Л</v>
      </c>
      <c r="B1000" s="6">
        <v>45604</v>
      </c>
      <c r="C1000" s="1" t="str">
        <f>"33"</f>
        <v>33</v>
      </c>
      <c r="D1000" s="2" t="str">
        <f>"33 Довідки різного характеру"</f>
        <v>33 Довідки різного характеру</v>
      </c>
      <c r="E1000" s="1" t="s">
        <v>20</v>
      </c>
      <c r="F1000" s="1" t="str">
        <f t="shared" si="134"/>
        <v>Центр надання адміністративних послуг Рогатинської міської ради</v>
      </c>
      <c r="G1000" s="1" t="str">
        <f t="shared" si="133"/>
        <v>Фізична особа</v>
      </c>
      <c r="H1000" s="1" t="s">
        <v>20</v>
      </c>
      <c r="I1000" s="1" t="s">
        <v>20</v>
      </c>
      <c r="J1000" s="1" t="str">
        <f t="shared" si="129"/>
        <v>Закрито</v>
      </c>
      <c r="K1000" s="5">
        <v>45604</v>
      </c>
      <c r="L1000" s="1" t="s">
        <v>20</v>
      </c>
      <c r="M1000" s="1" t="s">
        <v>22</v>
      </c>
      <c r="N1000" s="5">
        <v>45604</v>
      </c>
    </row>
    <row r="1001" spans="1:14" x14ac:dyDescent="0.3">
      <c r="A1001" s="1" t="str">
        <f>"1_5717/2129-11/2024/Т"</f>
        <v>1_5717/2129-11/2024/Т</v>
      </c>
      <c r="B1001" s="6">
        <v>45604</v>
      </c>
      <c r="C1001" s="1" t="str">
        <f>"01296"</f>
        <v>01296</v>
      </c>
      <c r="D1001" s="2" t="str">
        <f>"Видача довідки про проживання без реєстрації"</f>
        <v>Видача довідки про проживання без реєстрації</v>
      </c>
      <c r="E1001" s="1" t="s">
        <v>20</v>
      </c>
      <c r="F1001" s="1" t="str">
        <f t="shared" si="134"/>
        <v>Центр надання адміністративних послуг Рогатинської міської ради</v>
      </c>
      <c r="G1001" s="1" t="str">
        <f t="shared" si="133"/>
        <v>Фізична особа</v>
      </c>
      <c r="H1001" s="1" t="s">
        <v>20</v>
      </c>
      <c r="I1001" s="1" t="s">
        <v>20</v>
      </c>
      <c r="J1001" s="1" t="str">
        <f t="shared" si="129"/>
        <v>Закрито</v>
      </c>
      <c r="K1001" s="6">
        <v>45604</v>
      </c>
      <c r="L1001" s="1" t="s">
        <v>20</v>
      </c>
      <c r="M1001" s="1" t="s">
        <v>22</v>
      </c>
      <c r="N1001" s="5">
        <v>45604</v>
      </c>
    </row>
    <row r="1002" spans="1:14" x14ac:dyDescent="0.3">
      <c r="A1002" s="1" t="str">
        <f>"35_506-11/2024/Г"</f>
        <v>35_506-11/2024/Г</v>
      </c>
      <c r="B1002" s="6">
        <v>45604</v>
      </c>
      <c r="C1002" s="1" t="str">
        <f>"33"</f>
        <v>33</v>
      </c>
      <c r="D1002" s="2" t="str">
        <f>"33 Довідки різного характеру"</f>
        <v>33 Довідки різного характеру</v>
      </c>
      <c r="E1002" s="1" t="s">
        <v>20</v>
      </c>
      <c r="F1002" s="1" t="str">
        <f t="shared" si="134"/>
        <v>Центр надання адміністративних послуг Рогатинської міської ради</v>
      </c>
      <c r="G1002" s="1" t="str">
        <f t="shared" si="133"/>
        <v>Фізична особа</v>
      </c>
      <c r="H1002" s="1" t="s">
        <v>20</v>
      </c>
      <c r="I1002" s="1" t="s">
        <v>20</v>
      </c>
      <c r="J1002" s="1" t="str">
        <f t="shared" si="129"/>
        <v>Закрито</v>
      </c>
      <c r="K1002" s="5">
        <v>45604</v>
      </c>
      <c r="L1002" s="1" t="s">
        <v>20</v>
      </c>
      <c r="M1002" s="1" t="s">
        <v>22</v>
      </c>
      <c r="N1002" s="5">
        <v>45604</v>
      </c>
    </row>
    <row r="1003" spans="1:14" x14ac:dyDescent="0.3">
      <c r="A1003" s="1" t="str">
        <f>"1_5718/2129-11/2024/Т"</f>
        <v>1_5718/2129-11/2024/Т</v>
      </c>
      <c r="B1003" s="6">
        <v>45604</v>
      </c>
      <c r="C1003" s="1" t="str">
        <f>"00038"</f>
        <v>00038</v>
      </c>
      <c r="D100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03" s="1" t="s">
        <v>20</v>
      </c>
      <c r="F1003" s="1" t="str">
        <f t="shared" si="134"/>
        <v>Центр надання адміністративних послуг Рогатинської міської ради</v>
      </c>
      <c r="G1003" s="1" t="str">
        <f t="shared" si="133"/>
        <v>Фізична особа</v>
      </c>
      <c r="H1003" s="1" t="s">
        <v>20</v>
      </c>
      <c r="I1003" s="1" t="s">
        <v>20</v>
      </c>
      <c r="J1003" s="1" t="str">
        <f t="shared" si="129"/>
        <v>Закрито</v>
      </c>
      <c r="K1003" s="6">
        <v>45604</v>
      </c>
      <c r="L1003" s="1" t="s">
        <v>20</v>
      </c>
      <c r="M1003" s="1" t="s">
        <v>22</v>
      </c>
      <c r="N1003" s="5">
        <v>45604</v>
      </c>
    </row>
    <row r="1004" spans="1:14" x14ac:dyDescent="0.3">
      <c r="A1004" s="1" t="str">
        <f>"23_431-11/2024/С"</f>
        <v>23_431-11/2024/С</v>
      </c>
      <c r="B1004" s="6">
        <v>45604</v>
      </c>
      <c r="C1004" s="1" t="str">
        <f>"00064"</f>
        <v>00064</v>
      </c>
      <c r="D1004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004" s="1" t="s">
        <v>20</v>
      </c>
      <c r="F1004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004" s="1" t="str">
        <f t="shared" si="133"/>
        <v>Фізична особа</v>
      </c>
      <c r="H1004" s="1" t="s">
        <v>20</v>
      </c>
      <c r="I1004" s="1" t="s">
        <v>20</v>
      </c>
      <c r="J1004" s="1" t="str">
        <f t="shared" si="129"/>
        <v>Закрито</v>
      </c>
      <c r="K1004" s="5">
        <v>45604</v>
      </c>
      <c r="L1004" s="1" t="s">
        <v>20</v>
      </c>
      <c r="M1004" s="1" t="s">
        <v>22</v>
      </c>
      <c r="N1004" s="5">
        <v>45604</v>
      </c>
    </row>
    <row r="1005" spans="1:14" x14ac:dyDescent="0.3">
      <c r="A1005" s="1" t="str">
        <f>"23_432-11/2024/С"</f>
        <v>23_432-11/2024/С</v>
      </c>
      <c r="B1005" s="6">
        <v>45604</v>
      </c>
      <c r="C1005" s="1" t="str">
        <f>"00038"</f>
        <v>00038</v>
      </c>
      <c r="D100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05" s="1" t="s">
        <v>20</v>
      </c>
      <c r="F100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05" s="1" t="str">
        <f t="shared" si="133"/>
        <v>Фізична особа</v>
      </c>
      <c r="H1005" s="1" t="s">
        <v>20</v>
      </c>
      <c r="I1005" s="1" t="s">
        <v>20</v>
      </c>
      <c r="J1005" s="1" t="str">
        <f t="shared" si="129"/>
        <v>Закрито</v>
      </c>
      <c r="K1005" s="5">
        <v>45604</v>
      </c>
      <c r="L1005" s="1" t="s">
        <v>20</v>
      </c>
      <c r="M1005" s="1" t="s">
        <v>22</v>
      </c>
      <c r="N1005" s="5">
        <v>45604</v>
      </c>
    </row>
    <row r="1006" spans="1:14" x14ac:dyDescent="0.3">
      <c r="A1006" s="1" t="str">
        <f>"5_480-11/2024/П"</f>
        <v>5_480-11/2024/П</v>
      </c>
      <c r="B1006" s="6">
        <v>45604</v>
      </c>
      <c r="C1006" s="1" t="str">
        <f>"01298"</f>
        <v>01298</v>
      </c>
      <c r="D1006" s="2" t="str">
        <f>"Видача довідки про реєстрацію місця проживання померлого,  у тому числі про поживаючих разом з померлим за однією адресою"</f>
        <v>Видача довідки про реєстрацію місця проживання померлого,  у тому числі про поживаючих разом з померлим за однією адресою</v>
      </c>
      <c r="E1006" s="1" t="s">
        <v>20</v>
      </c>
      <c r="F100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06" s="1" t="str">
        <f>"Юридична особа"</f>
        <v>Юридична особа</v>
      </c>
      <c r="H1006" s="1" t="str">
        <f>"Приватний нотаріус Дзера Маряна Любомирівна"</f>
        <v>Приватний нотаріус Дзера Маряна Любомирівна</v>
      </c>
      <c r="I1006" s="1" t="s">
        <v>20</v>
      </c>
      <c r="J1006" s="1" t="str">
        <f t="shared" si="129"/>
        <v>Закрито</v>
      </c>
      <c r="K1006" s="5">
        <v>45604</v>
      </c>
      <c r="L1006" s="1" t="s">
        <v>20</v>
      </c>
      <c r="M1006" s="1" t="s">
        <v>22</v>
      </c>
      <c r="N1006" s="5">
        <v>45604</v>
      </c>
    </row>
    <row r="1007" spans="1:14" x14ac:dyDescent="0.3">
      <c r="A1007" s="1" t="str">
        <f>"23_433-11/2024/С"</f>
        <v>23_433-11/2024/С</v>
      </c>
      <c r="B1007" s="6">
        <v>45604</v>
      </c>
      <c r="C1007" s="1" t="str">
        <f>"00155"</f>
        <v>00155</v>
      </c>
      <c r="D1007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007" s="1" t="str">
        <f>"03193413"</f>
        <v>03193413</v>
      </c>
      <c r="F100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07" s="1" t="str">
        <f t="shared" ref="G1007:G1014" si="135">"Фізична особа"</f>
        <v>Фізична особа</v>
      </c>
      <c r="H1007" s="1" t="s">
        <v>20</v>
      </c>
      <c r="I1007" s="1" t="s">
        <v>20</v>
      </c>
      <c r="J1007" s="1" t="str">
        <f t="shared" si="129"/>
        <v>Закрито</v>
      </c>
      <c r="K1007" s="5">
        <v>45614</v>
      </c>
      <c r="L1007" s="1" t="s">
        <v>20</v>
      </c>
      <c r="M1007" s="1" t="s">
        <v>22</v>
      </c>
      <c r="N1007" s="5">
        <v>45614</v>
      </c>
    </row>
    <row r="1008" spans="1:14" x14ac:dyDescent="0.3">
      <c r="A1008" s="1" t="str">
        <f>"9_1612/04054323-11/2024/Г"</f>
        <v>9_1612/04054323-11/2024/Г</v>
      </c>
      <c r="B1008" s="6">
        <v>45604</v>
      </c>
      <c r="C1008" s="1" t="str">
        <f>"01-2"</f>
        <v>01-2</v>
      </c>
      <c r="D1008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виробництва"</f>
        <v>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</v>
      </c>
      <c r="E1008" s="1" t="str">
        <f>"04054323"</f>
        <v>04054323</v>
      </c>
      <c r="F1008" s="1" t="str">
        <f>"Рогатинська міська рада"</f>
        <v>Рогатинська міська рада</v>
      </c>
      <c r="G1008" s="1" t="str">
        <f t="shared" si="135"/>
        <v>Фізична особа</v>
      </c>
      <c r="H1008" s="1" t="s">
        <v>20</v>
      </c>
      <c r="I1008" s="1" t="s">
        <v>20</v>
      </c>
      <c r="J1008" s="1" t="str">
        <f t="shared" si="129"/>
        <v>Закрито</v>
      </c>
      <c r="K1008" s="5">
        <v>45637</v>
      </c>
      <c r="L1008" s="1" t="s">
        <v>20</v>
      </c>
      <c r="M1008" s="1" t="s">
        <v>22</v>
      </c>
      <c r="N1008" s="5">
        <v>45637</v>
      </c>
    </row>
    <row r="1009" spans="1:14" x14ac:dyDescent="0.3">
      <c r="A1009" s="1" t="str">
        <f>"6_371-11/2024/Г"</f>
        <v>6_371-11/2024/Г</v>
      </c>
      <c r="B1009" s="6">
        <v>45604</v>
      </c>
      <c r="C1009" s="1" t="str">
        <f>"00038"</f>
        <v>00038</v>
      </c>
      <c r="D100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09" s="1" t="s">
        <v>20</v>
      </c>
      <c r="F100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09" s="1" t="str">
        <f t="shared" si="135"/>
        <v>Фізична особа</v>
      </c>
      <c r="H1009" s="1" t="s">
        <v>20</v>
      </c>
      <c r="I1009" s="1" t="s">
        <v>20</v>
      </c>
      <c r="J1009" s="1" t="str">
        <f t="shared" si="129"/>
        <v>Закрито</v>
      </c>
      <c r="K1009" s="5">
        <v>45604</v>
      </c>
      <c r="L1009" s="1" t="s">
        <v>20</v>
      </c>
      <c r="M1009" s="1" t="s">
        <v>22</v>
      </c>
      <c r="N1009" s="5">
        <v>45604</v>
      </c>
    </row>
    <row r="1010" spans="1:14" x14ac:dyDescent="0.3">
      <c r="A1010" s="1" t="str">
        <f>"3_1346/4-11/2024/К"</f>
        <v>3_1346/4-11/2024/К</v>
      </c>
      <c r="B1010" s="6">
        <v>45604</v>
      </c>
      <c r="C1010" s="1" t="str">
        <f>"00060"</f>
        <v>00060</v>
      </c>
      <c r="D1010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010" s="1" t="s">
        <v>20</v>
      </c>
      <c r="F1010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010" s="1" t="str">
        <f t="shared" si="135"/>
        <v>Фізична особа</v>
      </c>
      <c r="H1010" s="1" t="s">
        <v>20</v>
      </c>
      <c r="I1010" s="1" t="s">
        <v>20</v>
      </c>
      <c r="J1010" s="1" t="str">
        <f t="shared" si="129"/>
        <v>Закрито</v>
      </c>
      <c r="K1010" s="5">
        <v>45622</v>
      </c>
      <c r="L1010" s="1" t="str">
        <f>"151.4"</f>
        <v>151.4</v>
      </c>
      <c r="M1010" s="1" t="s">
        <v>22</v>
      </c>
      <c r="N1010" s="5">
        <v>45622</v>
      </c>
    </row>
    <row r="1011" spans="1:14" x14ac:dyDescent="0.3">
      <c r="A1011" s="1" t="str">
        <f>"4_938-11/2024/А"</f>
        <v>4_938-11/2024/А</v>
      </c>
      <c r="B1011" s="6">
        <v>45604</v>
      </c>
      <c r="C1011" s="1" t="str">
        <f>"00155"</f>
        <v>00155</v>
      </c>
      <c r="D1011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011" s="1" t="str">
        <f>"03193413"</f>
        <v>03193413</v>
      </c>
      <c r="F101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11" s="1" t="str">
        <f t="shared" si="135"/>
        <v>Фізична особа</v>
      </c>
      <c r="H1011" s="1" t="s">
        <v>20</v>
      </c>
      <c r="I1011" s="1" t="s">
        <v>20</v>
      </c>
      <c r="J1011" s="1" t="str">
        <f>"Заявника сповіщено про результат"</f>
        <v>Заявника сповіщено про результат</v>
      </c>
      <c r="K1011" s="5">
        <v>45633</v>
      </c>
      <c r="L1011" s="1" t="s">
        <v>20</v>
      </c>
      <c r="M1011" s="1" t="s">
        <v>22</v>
      </c>
      <c r="N1011" s="5">
        <v>45637</v>
      </c>
    </row>
    <row r="1012" spans="1:14" x14ac:dyDescent="0.3">
      <c r="A1012" s="1" t="str">
        <f>"4_939-11/2024/М"</f>
        <v>4_939-11/2024/М</v>
      </c>
      <c r="B1012" s="6">
        <v>45604</v>
      </c>
      <c r="C1012" s="1" t="str">
        <f>"00038"</f>
        <v>00038</v>
      </c>
      <c r="D101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12" s="1" t="s">
        <v>20</v>
      </c>
      <c r="F101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12" s="1" t="str">
        <f t="shared" si="135"/>
        <v>Фізична особа</v>
      </c>
      <c r="H1012" s="1" t="s">
        <v>20</v>
      </c>
      <c r="I1012" s="1" t="s">
        <v>20</v>
      </c>
      <c r="J1012" s="1" t="str">
        <f>"Закрито"</f>
        <v>Закрито</v>
      </c>
      <c r="K1012" s="5">
        <v>45604</v>
      </c>
      <c r="L1012" s="1" t="s">
        <v>20</v>
      </c>
      <c r="M1012" s="1" t="s">
        <v>22</v>
      </c>
      <c r="N1012" s="5">
        <v>45604</v>
      </c>
    </row>
    <row r="1013" spans="1:14" x14ac:dyDescent="0.3">
      <c r="A1013" s="1" t="str">
        <f>"14_962-11/2024/Л"</f>
        <v>14_962-11/2024/Л</v>
      </c>
      <c r="B1013" s="6">
        <v>45604</v>
      </c>
      <c r="C1013" s="1" t="str">
        <f>"00133"</f>
        <v>00133</v>
      </c>
      <c r="D1013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013" s="1" t="str">
        <f>"03193413"</f>
        <v>03193413</v>
      </c>
      <c r="F101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13" s="1" t="str">
        <f t="shared" si="135"/>
        <v>Фізична особа</v>
      </c>
      <c r="H1013" s="1" t="s">
        <v>20</v>
      </c>
      <c r="I1013" s="1" t="s">
        <v>20</v>
      </c>
      <c r="J1013" s="1" t="str">
        <f>"На обробці в СНАП"</f>
        <v>На обробці в СНАП</v>
      </c>
      <c r="K1013" s="1" t="s">
        <v>20</v>
      </c>
      <c r="L1013" s="1" t="s">
        <v>20</v>
      </c>
      <c r="M1013" s="1" t="s">
        <v>22</v>
      </c>
      <c r="N1013" s="1" t="s">
        <v>20</v>
      </c>
    </row>
    <row r="1014" spans="1:14" x14ac:dyDescent="0.3">
      <c r="A1014" s="1" t="str">
        <f>"4_940-11/2024/К"</f>
        <v>4_940-11/2024/К</v>
      </c>
      <c r="B1014" s="6">
        <v>45604</v>
      </c>
      <c r="C1014" s="1" t="str">
        <f>"01974"</f>
        <v>01974</v>
      </c>
      <c r="D1014" s="2" t="str">
        <f>"Призначення пільги на оплату житла, комунальних послуг"</f>
        <v>Призначення пільги на оплату житла, комунальних послуг</v>
      </c>
      <c r="E1014" s="1" t="str">
        <f>"03193413"</f>
        <v>03193413</v>
      </c>
      <c r="F101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14" s="1" t="str">
        <f t="shared" si="135"/>
        <v>Фізична особа</v>
      </c>
      <c r="H1014" s="1" t="s">
        <v>20</v>
      </c>
      <c r="I1014" s="1" t="s">
        <v>20</v>
      </c>
      <c r="J1014" s="1" t="str">
        <f>"Заявника сповіщено про результат"</f>
        <v>Заявника сповіщено про результат</v>
      </c>
      <c r="K1014" s="5">
        <v>45632</v>
      </c>
      <c r="L1014" s="1" t="s">
        <v>20</v>
      </c>
      <c r="M1014" s="1" t="s">
        <v>22</v>
      </c>
      <c r="N1014" s="5">
        <v>45632</v>
      </c>
    </row>
    <row r="1015" spans="1:14" x14ac:dyDescent="0.3">
      <c r="A1015" s="1" t="str">
        <f>"4_941-11/2024/п"</f>
        <v>4_941-11/2024/п</v>
      </c>
      <c r="B1015" s="6">
        <v>45604</v>
      </c>
      <c r="C1015" s="1" t="str">
        <f>"01495"</f>
        <v>01495</v>
      </c>
      <c r="D1015" s="2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1015" s="1" t="s">
        <v>20</v>
      </c>
      <c r="F101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15" s="1" t="str">
        <f>"Юридична особа"</f>
        <v>Юридична особа</v>
      </c>
      <c r="H1015" s="1" t="str">
        <f>"приватний нотаріус Клід Оксана Ярославівна Івано-Франківський районний нотаріальний округ Івано-Франківської області"</f>
        <v>приватний нотаріус Клід Оксана Ярославівна Івано-Франківський районний нотаріальний округ Івано-Франківської області</v>
      </c>
      <c r="I1015" s="1" t="s">
        <v>20</v>
      </c>
      <c r="J1015" s="1" t="str">
        <f t="shared" ref="J1015:J1038" si="136">"Закрито"</f>
        <v>Закрито</v>
      </c>
      <c r="K1015" s="5">
        <v>45604</v>
      </c>
      <c r="L1015" s="1" t="s">
        <v>20</v>
      </c>
      <c r="M1015" s="1" t="s">
        <v>22</v>
      </c>
      <c r="N1015" s="5">
        <v>45604</v>
      </c>
    </row>
    <row r="1016" spans="1:14" x14ac:dyDescent="0.3">
      <c r="A1016" s="1" t="str">
        <f>"34_377-11/2024/Ф"</f>
        <v>34_377-11/2024/Ф</v>
      </c>
      <c r="B1016" s="6">
        <v>45604</v>
      </c>
      <c r="C1016" s="1" t="str">
        <f>"00038"</f>
        <v>00038</v>
      </c>
      <c r="D101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16" s="1" t="s">
        <v>20</v>
      </c>
      <c r="F101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16" s="1" t="str">
        <f t="shared" ref="G1016:G1037" si="137">"Фізична особа"</f>
        <v>Фізична особа</v>
      </c>
      <c r="H1016" s="1" t="s">
        <v>20</v>
      </c>
      <c r="I1016" s="1" t="s">
        <v>20</v>
      </c>
      <c r="J1016" s="1" t="str">
        <f t="shared" si="136"/>
        <v>Закрито</v>
      </c>
      <c r="K1016" s="5">
        <v>45604</v>
      </c>
      <c r="L1016" s="1" t="s">
        <v>20</v>
      </c>
      <c r="M1016" s="1" t="s">
        <v>22</v>
      </c>
      <c r="N1016" s="5">
        <v>45604</v>
      </c>
    </row>
    <row r="1017" spans="1:14" x14ac:dyDescent="0.3">
      <c r="A1017" s="1" t="str">
        <f>"1_5719/2129-11/2024/Н"</f>
        <v>1_5719/2129-11/2024/Н</v>
      </c>
      <c r="B1017" s="6">
        <v>45604</v>
      </c>
      <c r="C1017" s="1" t="str">
        <f>"00038"</f>
        <v>00038</v>
      </c>
      <c r="D101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17" s="1" t="s">
        <v>20</v>
      </c>
      <c r="F101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17" s="1" t="str">
        <f t="shared" si="137"/>
        <v>Фізична особа</v>
      </c>
      <c r="H1017" s="1" t="s">
        <v>20</v>
      </c>
      <c r="I1017" s="1" t="s">
        <v>20</v>
      </c>
      <c r="J1017" s="1" t="str">
        <f t="shared" si="136"/>
        <v>Закрито</v>
      </c>
      <c r="K1017" s="6">
        <v>45604</v>
      </c>
      <c r="L1017" s="1" t="s">
        <v>20</v>
      </c>
      <c r="M1017" s="1" t="s">
        <v>22</v>
      </c>
      <c r="N1017" s="5">
        <v>45604</v>
      </c>
    </row>
    <row r="1018" spans="1:14" x14ac:dyDescent="0.3">
      <c r="A1018" s="1" t="str">
        <f>"1_5720/2129-11/2024/Н"</f>
        <v>1_5720/2129-11/2024/Н</v>
      </c>
      <c r="B1018" s="6">
        <v>45604</v>
      </c>
      <c r="C1018" s="1" t="str">
        <f>"00038"</f>
        <v>00038</v>
      </c>
      <c r="D101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18" s="1" t="s">
        <v>20</v>
      </c>
      <c r="F10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18" s="1" t="str">
        <f t="shared" si="137"/>
        <v>Фізична особа</v>
      </c>
      <c r="H1018" s="1" t="s">
        <v>20</v>
      </c>
      <c r="I1018" s="1" t="s">
        <v>20</v>
      </c>
      <c r="J1018" s="1" t="str">
        <f t="shared" si="136"/>
        <v>Закрито</v>
      </c>
      <c r="K1018" s="6">
        <v>45604</v>
      </c>
      <c r="L1018" s="1" t="s">
        <v>20</v>
      </c>
      <c r="M1018" s="1" t="s">
        <v>22</v>
      </c>
      <c r="N1018" s="5">
        <v>45604</v>
      </c>
    </row>
    <row r="1019" spans="1:14" x14ac:dyDescent="0.3">
      <c r="A1019" s="1" t="str">
        <f>"1_5721/2129-11/2024/Б"</f>
        <v>1_5721/2129-11/2024/Б</v>
      </c>
      <c r="B1019" s="6">
        <v>45604</v>
      </c>
      <c r="C1019" s="1" t="str">
        <f>"00038"</f>
        <v>00038</v>
      </c>
      <c r="D101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19" s="1" t="s">
        <v>20</v>
      </c>
      <c r="F101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19" s="1" t="str">
        <f t="shared" si="137"/>
        <v>Фізична особа</v>
      </c>
      <c r="H1019" s="1" t="s">
        <v>20</v>
      </c>
      <c r="I1019" s="1" t="s">
        <v>20</v>
      </c>
      <c r="J1019" s="1" t="str">
        <f t="shared" si="136"/>
        <v>Закрито</v>
      </c>
      <c r="K1019" s="6">
        <v>45604</v>
      </c>
      <c r="L1019" s="1" t="s">
        <v>20</v>
      </c>
      <c r="M1019" s="1" t="s">
        <v>22</v>
      </c>
      <c r="N1019" s="5">
        <v>45604</v>
      </c>
    </row>
    <row r="1020" spans="1:14" x14ac:dyDescent="0.3">
      <c r="A1020" s="1" t="str">
        <f>"22_537-11/2024/З"</f>
        <v>22_537-11/2024/З</v>
      </c>
      <c r="B1020" s="6">
        <v>45604</v>
      </c>
      <c r="C1020" s="1" t="str">
        <f>"00133"</f>
        <v>00133</v>
      </c>
      <c r="D1020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020" s="1" t="str">
        <f>"03193413"</f>
        <v>03193413</v>
      </c>
      <c r="F102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20" s="1" t="str">
        <f t="shared" si="137"/>
        <v>Фізична особа</v>
      </c>
      <c r="H1020" s="1" t="s">
        <v>20</v>
      </c>
      <c r="I1020" s="1" t="s">
        <v>20</v>
      </c>
      <c r="J1020" s="1" t="str">
        <f t="shared" si="136"/>
        <v>Закрито</v>
      </c>
      <c r="K1020" s="1" t="s">
        <v>20</v>
      </c>
      <c r="L1020" s="1" t="s">
        <v>20</v>
      </c>
      <c r="M1020" s="1" t="s">
        <v>22</v>
      </c>
      <c r="N1020" s="1" t="s">
        <v>20</v>
      </c>
    </row>
    <row r="1021" spans="1:14" x14ac:dyDescent="0.3">
      <c r="A1021" s="1" t="str">
        <f>"21_644-11/2024/Б"</f>
        <v>21_644-11/2024/Б</v>
      </c>
      <c r="B1021" s="6">
        <v>45604</v>
      </c>
      <c r="C1021" s="1" t="str">
        <f>"33"</f>
        <v>33</v>
      </c>
      <c r="D1021" s="2" t="str">
        <f>"33 Довідки різного характеру"</f>
        <v>33 Довідки різного характеру</v>
      </c>
      <c r="E1021" s="1" t="s">
        <v>20</v>
      </c>
      <c r="F102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21" s="1" t="str">
        <f t="shared" si="137"/>
        <v>Фізична особа</v>
      </c>
      <c r="H1021" s="1" t="s">
        <v>20</v>
      </c>
      <c r="I1021" s="1" t="s">
        <v>20</v>
      </c>
      <c r="J1021" s="1" t="str">
        <f t="shared" si="136"/>
        <v>Закрито</v>
      </c>
      <c r="K1021" s="5">
        <v>45604</v>
      </c>
      <c r="L1021" s="1" t="s">
        <v>20</v>
      </c>
      <c r="M1021" s="1" t="s">
        <v>22</v>
      </c>
      <c r="N1021" s="5">
        <v>45604</v>
      </c>
    </row>
    <row r="1022" spans="1:14" x14ac:dyDescent="0.3">
      <c r="A1022" s="1" t="str">
        <f>"29_456-11/2024/о"</f>
        <v>29_456-11/2024/о</v>
      </c>
      <c r="B1022" s="6">
        <v>45604</v>
      </c>
      <c r="C1022" s="1" t="str">
        <f>"01161"</f>
        <v>01161</v>
      </c>
      <c r="D1022" s="2" t="s">
        <v>4</v>
      </c>
      <c r="E1022" s="1" t="str">
        <f>"04054323"</f>
        <v>04054323</v>
      </c>
      <c r="F1022" s="1" t="str">
        <f>"Рогатинська міська рада"</f>
        <v>Рогатинська міська рада</v>
      </c>
      <c r="G1022" s="1" t="str">
        <f t="shared" si="137"/>
        <v>Фізична особа</v>
      </c>
      <c r="H1022" s="1" t="s">
        <v>20</v>
      </c>
      <c r="I1022" s="1" t="s">
        <v>20</v>
      </c>
      <c r="J1022" s="1" t="str">
        <f t="shared" si="136"/>
        <v>Закрито</v>
      </c>
      <c r="K1022" s="5">
        <v>45604</v>
      </c>
      <c r="L1022" s="1" t="s">
        <v>20</v>
      </c>
      <c r="M1022" s="1" t="s">
        <v>22</v>
      </c>
      <c r="N1022" s="5">
        <v>45604</v>
      </c>
    </row>
    <row r="1023" spans="1:14" x14ac:dyDescent="0.3">
      <c r="A1023" s="1" t="str">
        <f>"29_457-11/2024/К"</f>
        <v>29_457-11/2024/К</v>
      </c>
      <c r="B1023" s="6">
        <v>45604</v>
      </c>
      <c r="C1023" s="1" t="str">
        <f>"33"</f>
        <v>33</v>
      </c>
      <c r="D1023" s="2" t="str">
        <f>"33 Довідки різного характеру"</f>
        <v>33 Довідки різного характеру</v>
      </c>
      <c r="E1023" s="1" t="s">
        <v>20</v>
      </c>
      <c r="F10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23" s="1" t="str">
        <f t="shared" si="137"/>
        <v>Фізична особа</v>
      </c>
      <c r="H1023" s="1" t="s">
        <v>20</v>
      </c>
      <c r="I1023" s="1" t="s">
        <v>20</v>
      </c>
      <c r="J1023" s="1" t="str">
        <f t="shared" si="136"/>
        <v>Закрито</v>
      </c>
      <c r="K1023" s="5">
        <v>45604</v>
      </c>
      <c r="L1023" s="1" t="s">
        <v>20</v>
      </c>
      <c r="M1023" s="1" t="s">
        <v>22</v>
      </c>
      <c r="N1023" s="5">
        <v>45604</v>
      </c>
    </row>
    <row r="1024" spans="1:14" x14ac:dyDescent="0.3">
      <c r="A1024" s="1" t="str">
        <f>"29_458-11/2024/к"</f>
        <v>29_458-11/2024/к</v>
      </c>
      <c r="B1024" s="6">
        <v>45604</v>
      </c>
      <c r="C1024" s="1" t="str">
        <f>"33"</f>
        <v>33</v>
      </c>
      <c r="D1024" s="2" t="str">
        <f>"33 Довідки різного характеру"</f>
        <v>33 Довідки різного характеру</v>
      </c>
      <c r="E1024" s="1" t="s">
        <v>20</v>
      </c>
      <c r="F10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24" s="1" t="str">
        <f t="shared" si="137"/>
        <v>Фізична особа</v>
      </c>
      <c r="H1024" s="1" t="s">
        <v>20</v>
      </c>
      <c r="I1024" s="1" t="s">
        <v>20</v>
      </c>
      <c r="J1024" s="1" t="str">
        <f t="shared" si="136"/>
        <v>Закрито</v>
      </c>
      <c r="K1024" s="5">
        <v>45604</v>
      </c>
      <c r="L1024" s="1" t="s">
        <v>20</v>
      </c>
      <c r="M1024" s="1" t="s">
        <v>22</v>
      </c>
      <c r="N1024" s="5">
        <v>45604</v>
      </c>
    </row>
    <row r="1025" spans="1:14" x14ac:dyDescent="0.3">
      <c r="A1025" s="1" t="str">
        <f>"29_459-11/2024/к"</f>
        <v>29_459-11/2024/к</v>
      </c>
      <c r="B1025" s="6">
        <v>45604</v>
      </c>
      <c r="C1025" s="1" t="str">
        <f>"33"</f>
        <v>33</v>
      </c>
      <c r="D1025" s="2" t="str">
        <f>"33 Довідки різного характеру"</f>
        <v>33 Довідки різного характеру</v>
      </c>
      <c r="E1025" s="1" t="s">
        <v>20</v>
      </c>
      <c r="F102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25" s="1" t="str">
        <f t="shared" si="137"/>
        <v>Фізична особа</v>
      </c>
      <c r="H1025" s="1" t="s">
        <v>20</v>
      </c>
      <c r="I1025" s="1" t="s">
        <v>20</v>
      </c>
      <c r="J1025" s="1" t="str">
        <f t="shared" si="136"/>
        <v>Закрито</v>
      </c>
      <c r="K1025" s="5">
        <v>45604</v>
      </c>
      <c r="L1025" s="1" t="s">
        <v>20</v>
      </c>
      <c r="M1025" s="1" t="s">
        <v>22</v>
      </c>
      <c r="N1025" s="5">
        <v>45604</v>
      </c>
    </row>
    <row r="1026" spans="1:14" x14ac:dyDescent="0.3">
      <c r="A1026" s="1" t="str">
        <f>"5_481-11/2024/К"</f>
        <v>5_481-11/2024/К</v>
      </c>
      <c r="B1026" s="6">
        <v>45604</v>
      </c>
      <c r="C1026" s="1" t="str">
        <f>"00038"</f>
        <v>00038</v>
      </c>
      <c r="D102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26" s="1" t="s">
        <v>20</v>
      </c>
      <c r="F102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26" s="1" t="str">
        <f t="shared" si="137"/>
        <v>Фізична особа</v>
      </c>
      <c r="H1026" s="1" t="s">
        <v>20</v>
      </c>
      <c r="I1026" s="1" t="s">
        <v>20</v>
      </c>
      <c r="J1026" s="1" t="str">
        <f t="shared" si="136"/>
        <v>Закрито</v>
      </c>
      <c r="K1026" s="5">
        <v>45604</v>
      </c>
      <c r="L1026" s="1" t="s">
        <v>20</v>
      </c>
      <c r="M1026" s="1" t="s">
        <v>22</v>
      </c>
      <c r="N1026" s="5">
        <v>45604</v>
      </c>
    </row>
    <row r="1027" spans="1:14" x14ac:dyDescent="0.3">
      <c r="A1027" s="1" t="str">
        <f>"9_1613/04054323-11/2024/К"</f>
        <v>9_1613/04054323-11/2024/К</v>
      </c>
      <c r="B1027" s="6">
        <v>45604</v>
      </c>
      <c r="C1027" s="1" t="str">
        <f>"01-1"</f>
        <v>01-1</v>
      </c>
      <c r="D1027" s="2" t="s">
        <v>0</v>
      </c>
      <c r="E1027" s="1" t="str">
        <f>"04054323"</f>
        <v>04054323</v>
      </c>
      <c r="F1027" s="1" t="str">
        <f>"Рогатинська міська рада"</f>
        <v>Рогатинська міська рада</v>
      </c>
      <c r="G1027" s="1" t="str">
        <f t="shared" si="137"/>
        <v>Фізична особа</v>
      </c>
      <c r="H1027" s="1" t="s">
        <v>20</v>
      </c>
      <c r="I1027" s="1" t="s">
        <v>20</v>
      </c>
      <c r="J1027" s="1" t="str">
        <f t="shared" si="136"/>
        <v>Закрито</v>
      </c>
      <c r="K1027" s="5">
        <v>45637</v>
      </c>
      <c r="L1027" s="1" t="s">
        <v>20</v>
      </c>
      <c r="M1027" s="1" t="s">
        <v>22</v>
      </c>
      <c r="N1027" s="5">
        <v>45637</v>
      </c>
    </row>
    <row r="1028" spans="1:14" x14ac:dyDescent="0.3">
      <c r="A1028" s="1" t="str">
        <f>"29_460-11/2024/р"</f>
        <v>29_460-11/2024/р</v>
      </c>
      <c r="B1028" s="6">
        <v>45604</v>
      </c>
      <c r="C1028" s="1" t="str">
        <f>"33"</f>
        <v>33</v>
      </c>
      <c r="D1028" s="2" t="str">
        <f>"33 Довідки різного характеру"</f>
        <v>33 Довідки різного характеру</v>
      </c>
      <c r="E1028" s="1" t="s">
        <v>20</v>
      </c>
      <c r="F10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28" s="1" t="str">
        <f t="shared" si="137"/>
        <v>Фізична особа</v>
      </c>
      <c r="H1028" s="1" t="s">
        <v>20</v>
      </c>
      <c r="I1028" s="1" t="s">
        <v>20</v>
      </c>
      <c r="J1028" s="1" t="str">
        <f t="shared" si="136"/>
        <v>Закрито</v>
      </c>
      <c r="K1028" s="5">
        <v>45604</v>
      </c>
      <c r="L1028" s="1" t="s">
        <v>20</v>
      </c>
      <c r="M1028" s="1" t="s">
        <v>22</v>
      </c>
      <c r="N1028" s="5">
        <v>45604</v>
      </c>
    </row>
    <row r="1029" spans="1:14" x14ac:dyDescent="0.3">
      <c r="A1029" s="1" t="str">
        <f>"9_1614/04054323-11/2024/К"</f>
        <v>9_1614/04054323-11/2024/К</v>
      </c>
      <c r="B1029" s="6">
        <v>45604</v>
      </c>
      <c r="C1029" s="1" t="str">
        <f>"01"</f>
        <v>01</v>
      </c>
      <c r="D1029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029" s="1" t="str">
        <f>"04054323"</f>
        <v>04054323</v>
      </c>
      <c r="F1029" s="1" t="str">
        <f>"Рогатинська міська рада"</f>
        <v>Рогатинська міська рада</v>
      </c>
      <c r="G1029" s="1" t="str">
        <f t="shared" si="137"/>
        <v>Фізична особа</v>
      </c>
      <c r="H1029" s="1" t="s">
        <v>20</v>
      </c>
      <c r="I1029" s="1" t="s">
        <v>20</v>
      </c>
      <c r="J1029" s="1" t="str">
        <f t="shared" si="136"/>
        <v>Закрито</v>
      </c>
      <c r="K1029" s="5">
        <v>45637</v>
      </c>
      <c r="L1029" s="1" t="s">
        <v>20</v>
      </c>
      <c r="M1029" s="1" t="s">
        <v>22</v>
      </c>
      <c r="N1029" s="5">
        <v>45637</v>
      </c>
    </row>
    <row r="1030" spans="1:14" x14ac:dyDescent="0.3">
      <c r="A1030" s="1" t="str">
        <f>"1_5722/2129-11/2024/В"</f>
        <v>1_5722/2129-11/2024/В</v>
      </c>
      <c r="B1030" s="6">
        <v>45604</v>
      </c>
      <c r="C1030" s="1" t="str">
        <f>"00038"</f>
        <v>00038</v>
      </c>
      <c r="D103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30" s="1" t="s">
        <v>20</v>
      </c>
      <c r="F10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30" s="1" t="str">
        <f t="shared" si="137"/>
        <v>Фізична особа</v>
      </c>
      <c r="H1030" s="1" t="s">
        <v>20</v>
      </c>
      <c r="I1030" s="1" t="s">
        <v>20</v>
      </c>
      <c r="J1030" s="1" t="str">
        <f t="shared" si="136"/>
        <v>Закрито</v>
      </c>
      <c r="K1030" s="6">
        <v>45604</v>
      </c>
      <c r="L1030" s="1" t="s">
        <v>20</v>
      </c>
      <c r="M1030" s="1" t="s">
        <v>22</v>
      </c>
      <c r="N1030" s="5">
        <v>45604</v>
      </c>
    </row>
    <row r="1031" spans="1:14" x14ac:dyDescent="0.3">
      <c r="A1031" s="1" t="str">
        <f>"8_532-11/2024/М"</f>
        <v>8_532-11/2024/М</v>
      </c>
      <c r="B1031" s="6">
        <v>45604</v>
      </c>
      <c r="C1031" s="1" t="str">
        <f>"00155"</f>
        <v>00155</v>
      </c>
      <c r="D1031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031" s="1" t="str">
        <f>"03193413"</f>
        <v>03193413</v>
      </c>
      <c r="F103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31" s="1" t="str">
        <f t="shared" si="137"/>
        <v>Фізична особа</v>
      </c>
      <c r="H1031" s="1" t="s">
        <v>20</v>
      </c>
      <c r="I1031" s="1" t="s">
        <v>20</v>
      </c>
      <c r="J1031" s="1" t="str">
        <f t="shared" si="136"/>
        <v>Закрито</v>
      </c>
      <c r="K1031" s="5">
        <v>45615</v>
      </c>
      <c r="L1031" s="1" t="s">
        <v>20</v>
      </c>
      <c r="M1031" s="1" t="s">
        <v>22</v>
      </c>
      <c r="N1031" s="5">
        <v>45615</v>
      </c>
    </row>
    <row r="1032" spans="1:14" x14ac:dyDescent="0.3">
      <c r="A1032" s="1" t="str">
        <f>"18_621-11/2024/В"</f>
        <v>18_621-11/2024/В</v>
      </c>
      <c r="B1032" s="6">
        <v>45604</v>
      </c>
      <c r="C1032" s="1" t="str">
        <f>"00038"</f>
        <v>00038</v>
      </c>
      <c r="D103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32" s="1" t="s">
        <v>20</v>
      </c>
      <c r="F10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32" s="1" t="str">
        <f t="shared" si="137"/>
        <v>Фізична особа</v>
      </c>
      <c r="H1032" s="1" t="s">
        <v>20</v>
      </c>
      <c r="I1032" s="1" t="s">
        <v>20</v>
      </c>
      <c r="J1032" s="1" t="str">
        <f t="shared" si="136"/>
        <v>Закрито</v>
      </c>
      <c r="K1032" s="5">
        <v>45604</v>
      </c>
      <c r="L1032" s="1" t="s">
        <v>20</v>
      </c>
      <c r="M1032" s="1" t="s">
        <v>22</v>
      </c>
      <c r="N1032" s="5">
        <v>45604</v>
      </c>
    </row>
    <row r="1033" spans="1:14" x14ac:dyDescent="0.3">
      <c r="A1033" s="1" t="str">
        <f>"33_411-11/2024/К"</f>
        <v>33_411-11/2024/К</v>
      </c>
      <c r="B1033" s="6">
        <v>45604</v>
      </c>
      <c r="C1033" s="1" t="str">
        <f>"00155"</f>
        <v>00155</v>
      </c>
      <c r="D1033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033" s="1" t="str">
        <f>"03193413"</f>
        <v>03193413</v>
      </c>
      <c r="F103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33" s="1" t="str">
        <f t="shared" si="137"/>
        <v>Фізична особа</v>
      </c>
      <c r="H1033" s="1" t="s">
        <v>20</v>
      </c>
      <c r="I1033" s="1" t="s">
        <v>20</v>
      </c>
      <c r="J1033" s="1" t="str">
        <f t="shared" si="136"/>
        <v>Закрито</v>
      </c>
      <c r="K1033" s="5">
        <v>45610</v>
      </c>
      <c r="L1033" s="1" t="s">
        <v>20</v>
      </c>
      <c r="M1033" s="1" t="s">
        <v>22</v>
      </c>
      <c r="N1033" s="5">
        <v>45610</v>
      </c>
    </row>
    <row r="1034" spans="1:14" x14ac:dyDescent="0.3">
      <c r="A1034" s="1" t="str">
        <f>"21_645-11/2024/Б"</f>
        <v>21_645-11/2024/Б</v>
      </c>
      <c r="B1034" s="6">
        <v>45604</v>
      </c>
      <c r="C1034" s="1" t="str">
        <f>"00038"</f>
        <v>00038</v>
      </c>
      <c r="D103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34" s="1" t="s">
        <v>20</v>
      </c>
      <c r="F10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34" s="1" t="str">
        <f t="shared" si="137"/>
        <v>Фізична особа</v>
      </c>
      <c r="H1034" s="1" t="s">
        <v>20</v>
      </c>
      <c r="I1034" s="1" t="s">
        <v>20</v>
      </c>
      <c r="J1034" s="1" t="str">
        <f t="shared" si="136"/>
        <v>Закрито</v>
      </c>
      <c r="K1034" s="5">
        <v>45604</v>
      </c>
      <c r="L1034" s="1" t="s">
        <v>20</v>
      </c>
      <c r="M1034" s="1" t="s">
        <v>22</v>
      </c>
      <c r="N1034" s="5">
        <v>45604</v>
      </c>
    </row>
    <row r="1035" spans="1:14" x14ac:dyDescent="0.3">
      <c r="A1035" s="1" t="str">
        <f>"3_833-11/2024/Б"</f>
        <v>3_833-11/2024/Б</v>
      </c>
      <c r="B1035" s="6">
        <v>45604</v>
      </c>
      <c r="C1035" s="1" t="str">
        <f>"33"</f>
        <v>33</v>
      </c>
      <c r="D1035" s="2" t="str">
        <f>"33 Довідки різного характеру"</f>
        <v>33 Довідки різного характеру</v>
      </c>
      <c r="E1035" s="1" t="s">
        <v>20</v>
      </c>
      <c r="F103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35" s="1" t="str">
        <f t="shared" si="137"/>
        <v>Фізична особа</v>
      </c>
      <c r="H1035" s="1" t="s">
        <v>20</v>
      </c>
      <c r="I1035" s="1" t="s">
        <v>20</v>
      </c>
      <c r="J1035" s="1" t="str">
        <f t="shared" si="136"/>
        <v>Закрито</v>
      </c>
      <c r="K1035" s="5">
        <v>45604</v>
      </c>
      <c r="L1035" s="1" t="s">
        <v>20</v>
      </c>
      <c r="M1035" s="1" t="s">
        <v>22</v>
      </c>
      <c r="N1035" s="5">
        <v>45604</v>
      </c>
    </row>
    <row r="1036" spans="1:14" x14ac:dyDescent="0.3">
      <c r="A1036" s="1" t="str">
        <f>"1_5723/2129-11/2024/І"</f>
        <v>1_5723/2129-11/2024/І</v>
      </c>
      <c r="B1036" s="6">
        <v>45604</v>
      </c>
      <c r="C1036" s="1" t="str">
        <f>"00038"</f>
        <v>00038</v>
      </c>
      <c r="D103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36" s="1" t="s">
        <v>20</v>
      </c>
      <c r="F103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36" s="1" t="str">
        <f t="shared" si="137"/>
        <v>Фізична особа</v>
      </c>
      <c r="H1036" s="1" t="s">
        <v>20</v>
      </c>
      <c r="I1036" s="1" t="s">
        <v>20</v>
      </c>
      <c r="J1036" s="1" t="str">
        <f t="shared" si="136"/>
        <v>Закрито</v>
      </c>
      <c r="K1036" s="6">
        <v>45604</v>
      </c>
      <c r="L1036" s="1" t="s">
        <v>20</v>
      </c>
      <c r="M1036" s="1" t="s">
        <v>22</v>
      </c>
      <c r="N1036" s="5">
        <v>45604</v>
      </c>
    </row>
    <row r="1037" spans="1:14" x14ac:dyDescent="0.3">
      <c r="A1037" s="1" t="str">
        <f>"1_5724/2129-11/2024/Є"</f>
        <v>1_5724/2129-11/2024/Є</v>
      </c>
      <c r="B1037" s="6">
        <v>45604</v>
      </c>
      <c r="C1037" s="1" t="str">
        <f>"00038"</f>
        <v>00038</v>
      </c>
      <c r="D103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37" s="1" t="s">
        <v>20</v>
      </c>
      <c r="F103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37" s="1" t="str">
        <f t="shared" si="137"/>
        <v>Фізична особа</v>
      </c>
      <c r="H1037" s="1" t="s">
        <v>20</v>
      </c>
      <c r="I1037" s="1" t="s">
        <v>20</v>
      </c>
      <c r="J1037" s="1" t="str">
        <f t="shared" si="136"/>
        <v>Закрито</v>
      </c>
      <c r="K1037" s="6">
        <v>45604</v>
      </c>
      <c r="L1037" s="1" t="s">
        <v>20</v>
      </c>
      <c r="M1037" s="1" t="s">
        <v>22</v>
      </c>
      <c r="N1037" s="5">
        <v>45604</v>
      </c>
    </row>
    <row r="1038" spans="1:14" x14ac:dyDescent="0.3">
      <c r="A1038" s="1" t="str">
        <f>"2_1927/04054323-11/2024/Д"</f>
        <v>2_1927/04054323-11/2024/Д</v>
      </c>
      <c r="B1038" s="6">
        <v>45604</v>
      </c>
      <c r="C1038" s="1" t="str">
        <f>"00153"</f>
        <v>00153</v>
      </c>
      <c r="D1038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1038" s="1" t="str">
        <f>"04054323"</f>
        <v>04054323</v>
      </c>
      <c r="F1038" s="1" t="str">
        <f>"Рогатинська міська рада"</f>
        <v>Рогатинська міська рада</v>
      </c>
      <c r="G1038" s="1" t="str">
        <f>"Юридична особа"</f>
        <v>Юридична особа</v>
      </c>
      <c r="H1038" s="1" t="str">
        <f>"ДП ""Рогатин-Водоканал"""</f>
        <v>ДП "Рогатин-Водоканал"</v>
      </c>
      <c r="I1038" s="1" t="str">
        <f>"31619337"</f>
        <v>31619337</v>
      </c>
      <c r="J1038" s="1" t="str">
        <f t="shared" si="136"/>
        <v>Закрито</v>
      </c>
      <c r="K1038" s="5">
        <v>45628</v>
      </c>
      <c r="L1038" s="1" t="s">
        <v>20</v>
      </c>
      <c r="M1038" s="1" t="s">
        <v>22</v>
      </c>
      <c r="N1038" s="5">
        <v>45628</v>
      </c>
    </row>
    <row r="1039" spans="1:14" x14ac:dyDescent="0.3">
      <c r="A1039" s="1" t="str">
        <f>"4_942-11/2024/Ф"</f>
        <v>4_942-11/2024/Ф</v>
      </c>
      <c r="B1039" s="6">
        <v>45604</v>
      </c>
      <c r="C1039" s="1" t="str">
        <f>"00155"</f>
        <v>00155</v>
      </c>
      <c r="D1039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039" s="1" t="str">
        <f>"03193413"</f>
        <v>03193413</v>
      </c>
      <c r="F103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39" s="1" t="str">
        <f t="shared" ref="G1039:G1070" si="138">"Фізична особа"</f>
        <v>Фізична особа</v>
      </c>
      <c r="H1039" s="1" t="s">
        <v>20</v>
      </c>
      <c r="I1039" s="1" t="s">
        <v>20</v>
      </c>
      <c r="J1039" s="1" t="str">
        <f>"Заявника сповіщено про результат"</f>
        <v>Заявника сповіщено про результат</v>
      </c>
      <c r="K1039" s="5">
        <v>45614</v>
      </c>
      <c r="L1039" s="1" t="s">
        <v>20</v>
      </c>
      <c r="M1039" s="1" t="s">
        <v>22</v>
      </c>
      <c r="N1039" s="5">
        <v>45614</v>
      </c>
    </row>
    <row r="1040" spans="1:14" x14ac:dyDescent="0.3">
      <c r="A1040" s="1" t="str">
        <f>"4_1251/03193413-11/2024/В"</f>
        <v>4_1251/03193413-11/2024/В</v>
      </c>
      <c r="B1040" s="6">
        <v>45604</v>
      </c>
      <c r="C1040" s="1" t="str">
        <f>"00242"</f>
        <v>00242</v>
      </c>
      <c r="D1040" s="2" t="str">
        <f>"Видача посвідчення особам з інвалідністю з дитинства та дітям з інвалідністю"</f>
        <v>Видача посвідчення особам з інвалідністю з дитинства та дітям з інвалідністю</v>
      </c>
      <c r="E1040" s="1" t="str">
        <f>"03193413"</f>
        <v>03193413</v>
      </c>
      <c r="F104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40" s="1" t="str">
        <f t="shared" si="138"/>
        <v>Фізична особа</v>
      </c>
      <c r="H1040" s="1" t="s">
        <v>20</v>
      </c>
      <c r="I1040" s="1" t="s">
        <v>20</v>
      </c>
      <c r="J1040" s="1" t="str">
        <f>"Заявника сповіщено про результат"</f>
        <v>Заявника сповіщено про результат</v>
      </c>
      <c r="K1040" s="5">
        <v>45615</v>
      </c>
      <c r="L1040" s="1" t="s">
        <v>20</v>
      </c>
      <c r="M1040" s="1" t="s">
        <v>22</v>
      </c>
      <c r="N1040" s="5">
        <v>45615</v>
      </c>
    </row>
    <row r="1041" spans="1:14" x14ac:dyDescent="0.3">
      <c r="A1041" s="1" t="str">
        <f>"5_482-11/2024/Ш"</f>
        <v>5_482-11/2024/Ш</v>
      </c>
      <c r="B1041" s="6">
        <v>45604</v>
      </c>
      <c r="C1041" s="1" t="str">
        <f>"00038"</f>
        <v>00038</v>
      </c>
      <c r="D104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41" s="1" t="s">
        <v>20</v>
      </c>
      <c r="F104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41" s="1" t="str">
        <f t="shared" si="138"/>
        <v>Фізична особа</v>
      </c>
      <c r="H1041" s="1" t="s">
        <v>20</v>
      </c>
      <c r="I1041" s="1" t="s">
        <v>20</v>
      </c>
      <c r="J1041" s="1" t="str">
        <f t="shared" ref="J1041:J1061" si="139">"Закрито"</f>
        <v>Закрито</v>
      </c>
      <c r="K1041" s="5">
        <v>45604</v>
      </c>
      <c r="L1041" s="1" t="s">
        <v>20</v>
      </c>
      <c r="M1041" s="1" t="s">
        <v>22</v>
      </c>
      <c r="N1041" s="5">
        <v>45604</v>
      </c>
    </row>
    <row r="1042" spans="1:14" x14ac:dyDescent="0.3">
      <c r="A1042" s="1" t="str">
        <f>"4_1252/03193413-11/2024/С"</f>
        <v>4_1252/03193413-11/2024/С</v>
      </c>
      <c r="B1042" s="6">
        <v>45604</v>
      </c>
      <c r="C1042" s="1" t="str">
        <f>"00155"</f>
        <v>00155</v>
      </c>
      <c r="D1042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042" s="1" t="str">
        <f>"03193413"</f>
        <v>03193413</v>
      </c>
      <c r="F104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42" s="1" t="str">
        <f t="shared" si="138"/>
        <v>Фізична особа</v>
      </c>
      <c r="H1042" s="1" t="s">
        <v>20</v>
      </c>
      <c r="I1042" s="1" t="s">
        <v>20</v>
      </c>
      <c r="J1042" s="1" t="str">
        <f t="shared" si="139"/>
        <v>Закрито</v>
      </c>
      <c r="K1042" s="5">
        <v>45615</v>
      </c>
      <c r="L1042" s="1" t="s">
        <v>20</v>
      </c>
      <c r="M1042" s="1" t="s">
        <v>22</v>
      </c>
      <c r="N1042" s="5">
        <v>45615</v>
      </c>
    </row>
    <row r="1043" spans="1:14" x14ac:dyDescent="0.3">
      <c r="A1043" s="1" t="str">
        <f>"19_513-11/2024/Ч"</f>
        <v>19_513-11/2024/Ч</v>
      </c>
      <c r="B1043" s="6">
        <v>45604</v>
      </c>
      <c r="C1043" s="1" t="str">
        <f>"00038"</f>
        <v>00038</v>
      </c>
      <c r="D104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43" s="1" t="s">
        <v>20</v>
      </c>
      <c r="F104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43" s="1" t="str">
        <f t="shared" si="138"/>
        <v>Фізична особа</v>
      </c>
      <c r="H1043" s="1" t="s">
        <v>20</v>
      </c>
      <c r="I1043" s="1" t="s">
        <v>20</v>
      </c>
      <c r="J1043" s="1" t="str">
        <f t="shared" si="139"/>
        <v>Закрито</v>
      </c>
      <c r="K1043" s="5">
        <v>45604</v>
      </c>
      <c r="L1043" s="1" t="s">
        <v>20</v>
      </c>
      <c r="M1043" s="1" t="s">
        <v>22</v>
      </c>
      <c r="N1043" s="5">
        <v>45604</v>
      </c>
    </row>
    <row r="1044" spans="1:14" x14ac:dyDescent="0.3">
      <c r="A1044" s="1" t="str">
        <f>"4_1253/03193413-11/2024/В"</f>
        <v>4_1253/03193413-11/2024/В</v>
      </c>
      <c r="B1044" s="6">
        <v>45604</v>
      </c>
      <c r="C1044" s="1" t="str">
        <f>"00155"</f>
        <v>00155</v>
      </c>
      <c r="D1044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044" s="1" t="str">
        <f>"03193413"</f>
        <v>03193413</v>
      </c>
      <c r="F104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44" s="1" t="str">
        <f t="shared" si="138"/>
        <v>Фізична особа</v>
      </c>
      <c r="H1044" s="1" t="s">
        <v>20</v>
      </c>
      <c r="I1044" s="1" t="s">
        <v>20</v>
      </c>
      <c r="J1044" s="1" t="str">
        <f t="shared" si="139"/>
        <v>Закрито</v>
      </c>
      <c r="K1044" s="5">
        <v>45615</v>
      </c>
      <c r="L1044" s="1" t="s">
        <v>20</v>
      </c>
      <c r="M1044" s="1" t="s">
        <v>22</v>
      </c>
      <c r="N1044" s="5">
        <v>45615</v>
      </c>
    </row>
    <row r="1045" spans="1:14" x14ac:dyDescent="0.3">
      <c r="A1045" s="1" t="str">
        <f>"4_1254/03193413-11/2024/Н"</f>
        <v>4_1254/03193413-11/2024/Н</v>
      </c>
      <c r="B1045" s="6">
        <v>45604</v>
      </c>
      <c r="C1045" s="1" t="str">
        <f>"00133"</f>
        <v>00133</v>
      </c>
      <c r="D1045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045" s="1" t="str">
        <f>"03193413"</f>
        <v>03193413</v>
      </c>
      <c r="F104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45" s="1" t="str">
        <f t="shared" si="138"/>
        <v>Фізична особа</v>
      </c>
      <c r="H1045" s="1" t="s">
        <v>20</v>
      </c>
      <c r="I1045" s="1" t="s">
        <v>20</v>
      </c>
      <c r="J1045" s="1" t="str">
        <f t="shared" si="139"/>
        <v>Закрито</v>
      </c>
      <c r="K1045" s="5">
        <v>45615</v>
      </c>
      <c r="L1045" s="1" t="s">
        <v>20</v>
      </c>
      <c r="M1045" s="1" t="s">
        <v>22</v>
      </c>
      <c r="N1045" s="5">
        <v>45615</v>
      </c>
    </row>
    <row r="1046" spans="1:14" x14ac:dyDescent="0.3">
      <c r="A1046" s="1" t="str">
        <f>"4_1255/03193413-11/2024/Н"</f>
        <v>4_1255/03193413-11/2024/Н</v>
      </c>
      <c r="B1046" s="6">
        <v>45604</v>
      </c>
      <c r="C1046" s="1" t="str">
        <f>"00150"</f>
        <v>00150</v>
      </c>
      <c r="D1046" s="2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1046" s="1" t="str">
        <f>"03193413"</f>
        <v>03193413</v>
      </c>
      <c r="F104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46" s="1" t="str">
        <f t="shared" si="138"/>
        <v>Фізична особа</v>
      </c>
      <c r="H1046" s="1" t="s">
        <v>20</v>
      </c>
      <c r="I1046" s="1" t="s">
        <v>20</v>
      </c>
      <c r="J1046" s="1" t="str">
        <f t="shared" si="139"/>
        <v>Закрито</v>
      </c>
      <c r="K1046" s="5">
        <v>45615</v>
      </c>
      <c r="L1046" s="1" t="s">
        <v>20</v>
      </c>
      <c r="M1046" s="1" t="s">
        <v>22</v>
      </c>
      <c r="N1046" s="5">
        <v>45615</v>
      </c>
    </row>
    <row r="1047" spans="1:14" x14ac:dyDescent="0.3">
      <c r="A1047" s="1" t="str">
        <f>"1_5725/2129-11/2024/Г"</f>
        <v>1_5725/2129-11/2024/Г</v>
      </c>
      <c r="B1047" s="6">
        <v>45604</v>
      </c>
      <c r="C1047" s="1" t="str">
        <f>"00038"</f>
        <v>00038</v>
      </c>
      <c r="D104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47" s="1" t="s">
        <v>20</v>
      </c>
      <c r="F1047" s="1" t="str">
        <f t="shared" ref="F1047:F1052" si="140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47" s="1" t="str">
        <f t="shared" si="138"/>
        <v>Фізична особа</v>
      </c>
      <c r="H1047" s="1" t="s">
        <v>20</v>
      </c>
      <c r="I1047" s="1" t="s">
        <v>20</v>
      </c>
      <c r="J1047" s="1" t="str">
        <f t="shared" si="139"/>
        <v>Закрито</v>
      </c>
      <c r="K1047" s="6">
        <v>45604</v>
      </c>
      <c r="L1047" s="1" t="s">
        <v>20</v>
      </c>
      <c r="M1047" s="1" t="s">
        <v>22</v>
      </c>
      <c r="N1047" s="5">
        <v>45604</v>
      </c>
    </row>
    <row r="1048" spans="1:14" x14ac:dyDescent="0.3">
      <c r="A1048" s="1" t="str">
        <f>"1_5726/2129-11/2024/Я"</f>
        <v>1_5726/2129-11/2024/Я</v>
      </c>
      <c r="B1048" s="6">
        <v>45604</v>
      </c>
      <c r="C1048" s="1" t="str">
        <f>"00038"</f>
        <v>00038</v>
      </c>
      <c r="D104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48" s="1" t="s">
        <v>20</v>
      </c>
      <c r="F1048" s="1" t="str">
        <f t="shared" si="140"/>
        <v>Центр надання адміністративних послуг Рогатинської міської ради</v>
      </c>
      <c r="G1048" s="1" t="str">
        <f t="shared" si="138"/>
        <v>Фізична особа</v>
      </c>
      <c r="H1048" s="1" t="s">
        <v>20</v>
      </c>
      <c r="I1048" s="1" t="s">
        <v>20</v>
      </c>
      <c r="J1048" s="1" t="str">
        <f t="shared" si="139"/>
        <v>Закрито</v>
      </c>
      <c r="K1048" s="6">
        <v>45604</v>
      </c>
      <c r="L1048" s="1" t="s">
        <v>20</v>
      </c>
      <c r="M1048" s="1" t="s">
        <v>22</v>
      </c>
      <c r="N1048" s="5">
        <v>45604</v>
      </c>
    </row>
    <row r="1049" spans="1:14" x14ac:dyDescent="0.3">
      <c r="A1049" s="1" t="str">
        <f>"3_834-11/2024/Б"</f>
        <v>3_834-11/2024/Б</v>
      </c>
      <c r="B1049" s="6">
        <v>45604</v>
      </c>
      <c r="C1049" s="1" t="str">
        <f>"33"</f>
        <v>33</v>
      </c>
      <c r="D1049" s="2" t="str">
        <f>"33 Довідки різного характеру"</f>
        <v>33 Довідки різного характеру</v>
      </c>
      <c r="E1049" s="1" t="s">
        <v>20</v>
      </c>
      <c r="F1049" s="1" t="str">
        <f t="shared" si="140"/>
        <v>Центр надання адміністративних послуг Рогатинської міської ради</v>
      </c>
      <c r="G1049" s="1" t="str">
        <f t="shared" si="138"/>
        <v>Фізична особа</v>
      </c>
      <c r="H1049" s="1" t="s">
        <v>20</v>
      </c>
      <c r="I1049" s="1" t="s">
        <v>20</v>
      </c>
      <c r="J1049" s="1" t="str">
        <f t="shared" si="139"/>
        <v>Закрито</v>
      </c>
      <c r="K1049" s="5">
        <v>45604</v>
      </c>
      <c r="L1049" s="1" t="s">
        <v>20</v>
      </c>
      <c r="M1049" s="1" t="s">
        <v>22</v>
      </c>
      <c r="N1049" s="5">
        <v>45604</v>
      </c>
    </row>
    <row r="1050" spans="1:14" x14ac:dyDescent="0.3">
      <c r="A1050" s="1" t="str">
        <f>"26_361-11/2024/Ш"</f>
        <v>26_361-11/2024/Ш</v>
      </c>
      <c r="B1050" s="6">
        <v>45604</v>
      </c>
      <c r="C1050" s="1" t="str">
        <f>"00038"</f>
        <v>00038</v>
      </c>
      <c r="D105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50" s="1" t="s">
        <v>20</v>
      </c>
      <c r="F1050" s="1" t="str">
        <f t="shared" si="140"/>
        <v>Центр надання адміністративних послуг Рогатинської міської ради</v>
      </c>
      <c r="G1050" s="1" t="str">
        <f t="shared" si="138"/>
        <v>Фізична особа</v>
      </c>
      <c r="H1050" s="1" t="s">
        <v>20</v>
      </c>
      <c r="I1050" s="1" t="s">
        <v>20</v>
      </c>
      <c r="J1050" s="1" t="str">
        <f t="shared" si="139"/>
        <v>Закрито</v>
      </c>
      <c r="K1050" s="5">
        <v>45604</v>
      </c>
      <c r="L1050" s="1" t="s">
        <v>20</v>
      </c>
      <c r="M1050" s="1" t="s">
        <v>22</v>
      </c>
      <c r="N1050" s="5">
        <v>45604</v>
      </c>
    </row>
    <row r="1051" spans="1:14" x14ac:dyDescent="0.3">
      <c r="A1051" s="1" t="str">
        <f>"26_362-11/2024/М"</f>
        <v>26_362-11/2024/М</v>
      </c>
      <c r="B1051" s="6">
        <v>45604</v>
      </c>
      <c r="C1051" s="1" t="str">
        <f>"00038"</f>
        <v>00038</v>
      </c>
      <c r="D105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51" s="1" t="s">
        <v>20</v>
      </c>
      <c r="F1051" s="1" t="str">
        <f t="shared" si="140"/>
        <v>Центр надання адміністративних послуг Рогатинської міської ради</v>
      </c>
      <c r="G1051" s="1" t="str">
        <f t="shared" si="138"/>
        <v>Фізична особа</v>
      </c>
      <c r="H1051" s="1" t="s">
        <v>20</v>
      </c>
      <c r="I1051" s="1" t="s">
        <v>20</v>
      </c>
      <c r="J1051" s="1" t="str">
        <f t="shared" si="139"/>
        <v>Закрито</v>
      </c>
      <c r="K1051" s="5">
        <v>45604</v>
      </c>
      <c r="L1051" s="1" t="s">
        <v>20</v>
      </c>
      <c r="M1051" s="1" t="s">
        <v>22</v>
      </c>
      <c r="N1051" s="5">
        <v>45604</v>
      </c>
    </row>
    <row r="1052" spans="1:14" x14ac:dyDescent="0.3">
      <c r="A1052" s="1" t="str">
        <f>"26_363-11/2024/Г"</f>
        <v>26_363-11/2024/Г</v>
      </c>
      <c r="B1052" s="6">
        <v>45604</v>
      </c>
      <c r="C1052" s="1" t="str">
        <f>"00038"</f>
        <v>00038</v>
      </c>
      <c r="D105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52" s="1" t="s">
        <v>20</v>
      </c>
      <c r="F1052" s="1" t="str">
        <f t="shared" si="140"/>
        <v>Центр надання адміністративних послуг Рогатинської міської ради</v>
      </c>
      <c r="G1052" s="1" t="str">
        <f t="shared" si="138"/>
        <v>Фізична особа</v>
      </c>
      <c r="H1052" s="1" t="s">
        <v>20</v>
      </c>
      <c r="I1052" s="1" t="s">
        <v>20</v>
      </c>
      <c r="J1052" s="1" t="str">
        <f t="shared" si="139"/>
        <v>Закрито</v>
      </c>
      <c r="K1052" s="5">
        <v>45604</v>
      </c>
      <c r="L1052" s="1" t="s">
        <v>20</v>
      </c>
      <c r="M1052" s="1" t="s">
        <v>22</v>
      </c>
      <c r="N1052" s="5">
        <v>45604</v>
      </c>
    </row>
    <row r="1053" spans="1:14" x14ac:dyDescent="0.3">
      <c r="A1053" s="1" t="str">
        <f>"34_378-11/2024/Ф"</f>
        <v>34_378-11/2024/Ф</v>
      </c>
      <c r="B1053" s="6">
        <v>45604</v>
      </c>
      <c r="C1053" s="1" t="str">
        <f>"00155"</f>
        <v>00155</v>
      </c>
      <c r="D1053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053" s="1" t="str">
        <f>"03193413"</f>
        <v>03193413</v>
      </c>
      <c r="F105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53" s="1" t="str">
        <f t="shared" si="138"/>
        <v>Фізична особа</v>
      </c>
      <c r="H1053" s="1" t="s">
        <v>20</v>
      </c>
      <c r="I1053" s="1" t="s">
        <v>20</v>
      </c>
      <c r="J1053" s="1" t="str">
        <f t="shared" si="139"/>
        <v>Закрито</v>
      </c>
      <c r="K1053" s="1" t="s">
        <v>20</v>
      </c>
      <c r="L1053" s="1" t="s">
        <v>20</v>
      </c>
      <c r="M1053" s="1" t="s">
        <v>22</v>
      </c>
      <c r="N1053" s="1" t="s">
        <v>20</v>
      </c>
    </row>
    <row r="1054" spans="1:14" x14ac:dyDescent="0.3">
      <c r="A1054" s="1" t="str">
        <f>"34_379-11/2024/Ф"</f>
        <v>34_379-11/2024/Ф</v>
      </c>
      <c r="B1054" s="6">
        <v>45604</v>
      </c>
      <c r="C1054" s="1" t="str">
        <f>"00064"</f>
        <v>00064</v>
      </c>
      <c r="D1054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054" s="1" t="s">
        <v>20</v>
      </c>
      <c r="F1054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054" s="1" t="str">
        <f t="shared" si="138"/>
        <v>Фізична особа</v>
      </c>
      <c r="H1054" s="1" t="s">
        <v>20</v>
      </c>
      <c r="I1054" s="1" t="s">
        <v>20</v>
      </c>
      <c r="J1054" s="1" t="str">
        <f t="shared" si="139"/>
        <v>Закрито</v>
      </c>
      <c r="K1054" s="5">
        <v>45604</v>
      </c>
      <c r="L1054" s="1" t="s">
        <v>20</v>
      </c>
      <c r="M1054" s="1" t="s">
        <v>22</v>
      </c>
      <c r="N1054" s="5">
        <v>45604</v>
      </c>
    </row>
    <row r="1055" spans="1:14" x14ac:dyDescent="0.3">
      <c r="A1055" s="1" t="str">
        <f>"8_533-11/2024/Д"</f>
        <v>8_533-11/2024/Д</v>
      </c>
      <c r="B1055" s="6">
        <v>45604</v>
      </c>
      <c r="C1055" s="1" t="str">
        <f>"001040"</f>
        <v>001040</v>
      </c>
      <c r="D1055" s="2" t="str">
        <f>"Надання допомоги на проживання внутрішньо переміщеним особам"</f>
        <v>Надання допомоги на проживання внутрішньо переміщеним особам</v>
      </c>
      <c r="E1055" s="1" t="str">
        <f>"03193413"</f>
        <v>03193413</v>
      </c>
      <c r="F105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55" s="1" t="str">
        <f t="shared" si="138"/>
        <v>Фізична особа</v>
      </c>
      <c r="H1055" s="1" t="s">
        <v>20</v>
      </c>
      <c r="I1055" s="1" t="s">
        <v>20</v>
      </c>
      <c r="J1055" s="1" t="str">
        <f t="shared" si="139"/>
        <v>Закрито</v>
      </c>
      <c r="K1055" s="5">
        <v>45615</v>
      </c>
      <c r="L1055" s="1" t="s">
        <v>20</v>
      </c>
      <c r="M1055" s="1" t="s">
        <v>22</v>
      </c>
      <c r="N1055" s="5">
        <v>45615</v>
      </c>
    </row>
    <row r="1056" spans="1:14" x14ac:dyDescent="0.3">
      <c r="A1056" s="1" t="str">
        <f>"4_1256/03193413-11/2024/П"</f>
        <v>4_1256/03193413-11/2024/П</v>
      </c>
      <c r="B1056" s="6">
        <v>45604</v>
      </c>
      <c r="C1056" s="1" t="str">
        <f>"00133"</f>
        <v>00133</v>
      </c>
      <c r="D1056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056" s="1" t="str">
        <f>"03193413"</f>
        <v>03193413</v>
      </c>
      <c r="F105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56" s="1" t="str">
        <f t="shared" si="138"/>
        <v>Фізична особа</v>
      </c>
      <c r="H1056" s="1" t="s">
        <v>20</v>
      </c>
      <c r="I1056" s="1" t="s">
        <v>20</v>
      </c>
      <c r="J1056" s="1" t="str">
        <f t="shared" si="139"/>
        <v>Закрито</v>
      </c>
      <c r="K1056" s="5">
        <v>45615</v>
      </c>
      <c r="L1056" s="1" t="s">
        <v>20</v>
      </c>
      <c r="M1056" s="1" t="s">
        <v>22</v>
      </c>
      <c r="N1056" s="5">
        <v>45615</v>
      </c>
    </row>
    <row r="1057" spans="1:14" x14ac:dyDescent="0.3">
      <c r="A1057" s="1" t="str">
        <f>"12_836-11/2024/Г"</f>
        <v>12_836-11/2024/Г</v>
      </c>
      <c r="B1057" s="6">
        <v>45604</v>
      </c>
      <c r="C1057" s="1" t="str">
        <f>"00038"</f>
        <v>00038</v>
      </c>
      <c r="D105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57" s="1" t="s">
        <v>20</v>
      </c>
      <c r="F10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57" s="1" t="str">
        <f t="shared" si="138"/>
        <v>Фізична особа</v>
      </c>
      <c r="H1057" s="1" t="s">
        <v>20</v>
      </c>
      <c r="I1057" s="1" t="s">
        <v>20</v>
      </c>
      <c r="J1057" s="1" t="str">
        <f t="shared" si="139"/>
        <v>Закрито</v>
      </c>
      <c r="K1057" s="5">
        <v>45604</v>
      </c>
      <c r="L1057" s="1" t="s">
        <v>20</v>
      </c>
      <c r="M1057" s="1" t="s">
        <v>22</v>
      </c>
      <c r="N1057" s="5">
        <v>45604</v>
      </c>
    </row>
    <row r="1058" spans="1:14" x14ac:dyDescent="0.3">
      <c r="A1058" s="1" t="str">
        <f>"18_622-11/2024/С"</f>
        <v>18_622-11/2024/С</v>
      </c>
      <c r="B1058" s="6">
        <v>45604</v>
      </c>
      <c r="C1058" s="1" t="str">
        <f>"00038"</f>
        <v>00038</v>
      </c>
      <c r="D105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58" s="1" t="s">
        <v>20</v>
      </c>
      <c r="F105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58" s="1" t="str">
        <f t="shared" si="138"/>
        <v>Фізична особа</v>
      </c>
      <c r="H1058" s="1" t="s">
        <v>20</v>
      </c>
      <c r="I1058" s="1" t="s">
        <v>20</v>
      </c>
      <c r="J1058" s="1" t="str">
        <f t="shared" si="139"/>
        <v>Закрито</v>
      </c>
      <c r="K1058" s="5">
        <v>45604</v>
      </c>
      <c r="L1058" s="1" t="s">
        <v>20</v>
      </c>
      <c r="M1058" s="1" t="s">
        <v>22</v>
      </c>
      <c r="N1058" s="5">
        <v>45604</v>
      </c>
    </row>
    <row r="1059" spans="1:14" x14ac:dyDescent="0.3">
      <c r="A1059" s="1" t="str">
        <f>"12_837-11/2024/Г"</f>
        <v>12_837-11/2024/Г</v>
      </c>
      <c r="B1059" s="6">
        <v>45604</v>
      </c>
      <c r="C1059" s="1" t="str">
        <f>"00038"</f>
        <v>00038</v>
      </c>
      <c r="D105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59" s="1" t="s">
        <v>20</v>
      </c>
      <c r="F10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59" s="1" t="str">
        <f t="shared" si="138"/>
        <v>Фізична особа</v>
      </c>
      <c r="H1059" s="1" t="s">
        <v>20</v>
      </c>
      <c r="I1059" s="1" t="s">
        <v>20</v>
      </c>
      <c r="J1059" s="1" t="str">
        <f t="shared" si="139"/>
        <v>Закрито</v>
      </c>
      <c r="K1059" s="5">
        <v>45604</v>
      </c>
      <c r="L1059" s="1" t="s">
        <v>20</v>
      </c>
      <c r="M1059" s="1" t="s">
        <v>22</v>
      </c>
      <c r="N1059" s="5">
        <v>45604</v>
      </c>
    </row>
    <row r="1060" spans="1:14" x14ac:dyDescent="0.3">
      <c r="A1060" s="1" t="str">
        <f>"14_963-11/2024/Р"</f>
        <v>14_963-11/2024/Р</v>
      </c>
      <c r="B1060" s="6">
        <v>45604</v>
      </c>
      <c r="C1060" s="1" t="str">
        <f>"00038"</f>
        <v>00038</v>
      </c>
      <c r="D106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60" s="1" t="s">
        <v>20</v>
      </c>
      <c r="F10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60" s="1" t="str">
        <f t="shared" si="138"/>
        <v>Фізична особа</v>
      </c>
      <c r="H1060" s="1" t="s">
        <v>20</v>
      </c>
      <c r="I1060" s="1" t="s">
        <v>20</v>
      </c>
      <c r="J1060" s="1" t="str">
        <f t="shared" si="139"/>
        <v>Закрито</v>
      </c>
      <c r="K1060" s="5">
        <v>45604</v>
      </c>
      <c r="L1060" s="1" t="s">
        <v>20</v>
      </c>
      <c r="M1060" s="1" t="s">
        <v>22</v>
      </c>
      <c r="N1060" s="5">
        <v>45604</v>
      </c>
    </row>
    <row r="1061" spans="1:14" x14ac:dyDescent="0.3">
      <c r="A1061" s="1" t="str">
        <f>"12_838-11/2024/Г"</f>
        <v>12_838-11/2024/Г</v>
      </c>
      <c r="B1061" s="6">
        <v>45604</v>
      </c>
      <c r="C1061" s="1" t="str">
        <f>"00133"</f>
        <v>00133</v>
      </c>
      <c r="D1061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061" s="1" t="str">
        <f>"03193413"</f>
        <v>03193413</v>
      </c>
      <c r="F106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61" s="1" t="str">
        <f t="shared" si="138"/>
        <v>Фізична особа</v>
      </c>
      <c r="H1061" s="1" t="s">
        <v>20</v>
      </c>
      <c r="I1061" s="1" t="s">
        <v>20</v>
      </c>
      <c r="J1061" s="1" t="str">
        <f t="shared" si="139"/>
        <v>Закрито</v>
      </c>
      <c r="K1061" s="5">
        <v>45653</v>
      </c>
      <c r="L1061" s="1" t="s">
        <v>20</v>
      </c>
      <c r="M1061" s="1" t="s">
        <v>22</v>
      </c>
      <c r="N1061" s="5">
        <v>45653</v>
      </c>
    </row>
    <row r="1062" spans="1:14" x14ac:dyDescent="0.3">
      <c r="A1062" s="1" t="str">
        <f>"12_839-11/2024/Г"</f>
        <v>12_839-11/2024/Г</v>
      </c>
      <c r="B1062" s="6">
        <v>45604</v>
      </c>
      <c r="C1062" s="1" t="str">
        <f>"00150"</f>
        <v>00150</v>
      </c>
      <c r="D1062" s="2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1062" s="1" t="str">
        <f>"03193413"</f>
        <v>03193413</v>
      </c>
      <c r="F106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62" s="1" t="str">
        <f t="shared" si="138"/>
        <v>Фізична особа</v>
      </c>
      <c r="H1062" s="1" t="s">
        <v>20</v>
      </c>
      <c r="I1062" s="1" t="s">
        <v>20</v>
      </c>
      <c r="J1062" s="1" t="str">
        <f>"На обробці в СНАП"</f>
        <v>На обробці в СНАП</v>
      </c>
      <c r="K1062" s="1" t="s">
        <v>20</v>
      </c>
      <c r="L1062" s="1" t="s">
        <v>20</v>
      </c>
      <c r="M1062" s="1" t="s">
        <v>22</v>
      </c>
      <c r="N1062" s="1" t="s">
        <v>20</v>
      </c>
    </row>
    <row r="1063" spans="1:14" x14ac:dyDescent="0.3">
      <c r="A1063" s="1" t="str">
        <f>"21_646-11/2024/С"</f>
        <v>21_646-11/2024/С</v>
      </c>
      <c r="B1063" s="6">
        <v>45604</v>
      </c>
      <c r="C1063" s="1" t="str">
        <f>"33"</f>
        <v>33</v>
      </c>
      <c r="D1063" s="2" t="str">
        <f>"33 Довідки різного характеру"</f>
        <v>33 Довідки різного характеру</v>
      </c>
      <c r="E1063" s="1" t="s">
        <v>20</v>
      </c>
      <c r="F106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63" s="1" t="str">
        <f t="shared" si="138"/>
        <v>Фізична особа</v>
      </c>
      <c r="H1063" s="1" t="s">
        <v>20</v>
      </c>
      <c r="I1063" s="1" t="s">
        <v>20</v>
      </c>
      <c r="J1063" s="1" t="str">
        <f t="shared" ref="J1063:J1085" si="141">"Закрито"</f>
        <v>Закрито</v>
      </c>
      <c r="K1063" s="1" t="s">
        <v>20</v>
      </c>
      <c r="L1063" s="1" t="s">
        <v>20</v>
      </c>
      <c r="M1063" s="1" t="s">
        <v>22</v>
      </c>
      <c r="N1063" s="1" t="s">
        <v>20</v>
      </c>
    </row>
    <row r="1064" spans="1:14" x14ac:dyDescent="0.3">
      <c r="A1064" s="1" t="str">
        <f>"24_330-11/2024/О"</f>
        <v>24_330-11/2024/О</v>
      </c>
      <c r="B1064" s="6">
        <v>45604</v>
      </c>
      <c r="C1064" s="1" t="str">
        <f>"33"</f>
        <v>33</v>
      </c>
      <c r="D1064" s="2" t="str">
        <f>"33 Довідки різного характеру"</f>
        <v>33 Довідки різного характеру</v>
      </c>
      <c r="E1064" s="1" t="s">
        <v>20</v>
      </c>
      <c r="F10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64" s="1" t="str">
        <f t="shared" si="138"/>
        <v>Фізична особа</v>
      </c>
      <c r="H1064" s="1" t="s">
        <v>20</v>
      </c>
      <c r="I1064" s="1" t="s">
        <v>20</v>
      </c>
      <c r="J1064" s="1" t="str">
        <f t="shared" si="141"/>
        <v>Закрито</v>
      </c>
      <c r="K1064" s="5">
        <v>45604</v>
      </c>
      <c r="L1064" s="1" t="s">
        <v>20</v>
      </c>
      <c r="M1064" s="1" t="s">
        <v>22</v>
      </c>
      <c r="N1064" s="5">
        <v>45604</v>
      </c>
    </row>
    <row r="1065" spans="1:14" x14ac:dyDescent="0.3">
      <c r="A1065" s="1" t="str">
        <f>"12_840-11/2024/П"</f>
        <v>12_840-11/2024/П</v>
      </c>
      <c r="B1065" s="6">
        <v>45604</v>
      </c>
      <c r="C1065" s="1" t="str">
        <f>"01841"</f>
        <v>01841</v>
      </c>
      <c r="D1065" s="2" t="str">
        <f>"Видача довідки про реєстрацію та проживання особи станом на 15.04.1991 року"</f>
        <v>Видача довідки про реєстрацію та проживання особи станом на 15.04.1991 року</v>
      </c>
      <c r="E1065" s="1" t="s">
        <v>20</v>
      </c>
      <c r="F106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65" s="1" t="str">
        <f t="shared" si="138"/>
        <v>Фізична особа</v>
      </c>
      <c r="H1065" s="1" t="s">
        <v>20</v>
      </c>
      <c r="I1065" s="1" t="s">
        <v>20</v>
      </c>
      <c r="J1065" s="1" t="str">
        <f t="shared" si="141"/>
        <v>Закрито</v>
      </c>
      <c r="K1065" s="5">
        <v>45604</v>
      </c>
      <c r="L1065" s="1" t="s">
        <v>20</v>
      </c>
      <c r="M1065" s="1" t="s">
        <v>22</v>
      </c>
      <c r="N1065" s="5">
        <v>45604</v>
      </c>
    </row>
    <row r="1066" spans="1:14" x14ac:dyDescent="0.3">
      <c r="A1066" s="1" t="str">
        <f>"24_331-11/2024/О"</f>
        <v>24_331-11/2024/О</v>
      </c>
      <c r="B1066" s="6">
        <v>45604</v>
      </c>
      <c r="C1066" s="1" t="str">
        <f>"00064"</f>
        <v>00064</v>
      </c>
      <c r="D1066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066" s="1" t="s">
        <v>20</v>
      </c>
      <c r="F1066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066" s="1" t="str">
        <f t="shared" si="138"/>
        <v>Фізична особа</v>
      </c>
      <c r="H1066" s="1" t="s">
        <v>20</v>
      </c>
      <c r="I1066" s="1" t="s">
        <v>20</v>
      </c>
      <c r="J1066" s="1" t="str">
        <f t="shared" si="141"/>
        <v>Закрито</v>
      </c>
      <c r="K1066" s="5">
        <v>45604</v>
      </c>
      <c r="L1066" s="1" t="s">
        <v>20</v>
      </c>
      <c r="M1066" s="1" t="s">
        <v>22</v>
      </c>
      <c r="N1066" s="5">
        <v>45604</v>
      </c>
    </row>
    <row r="1067" spans="1:14" x14ac:dyDescent="0.3">
      <c r="A1067" s="1" t="str">
        <f>"12_841-11/2024/Ш"</f>
        <v>12_841-11/2024/Ш</v>
      </c>
      <c r="B1067" s="6">
        <v>45604</v>
      </c>
      <c r="C1067" s="1" t="str">
        <f>"00038"</f>
        <v>00038</v>
      </c>
      <c r="D106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67" s="1" t="s">
        <v>20</v>
      </c>
      <c r="F106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67" s="1" t="str">
        <f t="shared" si="138"/>
        <v>Фізична особа</v>
      </c>
      <c r="H1067" s="1" t="s">
        <v>20</v>
      </c>
      <c r="I1067" s="1" t="s">
        <v>20</v>
      </c>
      <c r="J1067" s="1" t="str">
        <f t="shared" si="141"/>
        <v>Закрито</v>
      </c>
      <c r="K1067" s="5">
        <v>45604</v>
      </c>
      <c r="L1067" s="1" t="s">
        <v>20</v>
      </c>
      <c r="M1067" s="1" t="s">
        <v>22</v>
      </c>
      <c r="N1067" s="5">
        <v>45604</v>
      </c>
    </row>
    <row r="1068" spans="1:14" x14ac:dyDescent="0.3">
      <c r="A1068" s="1" t="str">
        <f>"24_332-11/2024/О"</f>
        <v>24_332-11/2024/О</v>
      </c>
      <c r="B1068" s="6">
        <v>45604</v>
      </c>
      <c r="C1068" s="1" t="str">
        <f>"00155"</f>
        <v>00155</v>
      </c>
      <c r="D1068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068" s="1" t="str">
        <f>"03193413"</f>
        <v>03193413</v>
      </c>
      <c r="F106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68" s="1" t="str">
        <f t="shared" si="138"/>
        <v>Фізична особа</v>
      </c>
      <c r="H1068" s="1" t="s">
        <v>20</v>
      </c>
      <c r="I1068" s="1" t="s">
        <v>20</v>
      </c>
      <c r="J1068" s="1" t="str">
        <f t="shared" si="141"/>
        <v>Закрито</v>
      </c>
      <c r="K1068" s="5">
        <v>45610</v>
      </c>
      <c r="L1068" s="1" t="s">
        <v>20</v>
      </c>
      <c r="M1068" s="1" t="s">
        <v>22</v>
      </c>
      <c r="N1068" s="5">
        <v>45610</v>
      </c>
    </row>
    <row r="1069" spans="1:14" x14ac:dyDescent="0.3">
      <c r="A1069" s="1" t="str">
        <f>"23_434-11/2024/С"</f>
        <v>23_434-11/2024/С</v>
      </c>
      <c r="B1069" s="6">
        <v>45604</v>
      </c>
      <c r="C1069" s="1" t="str">
        <f>"33"</f>
        <v>33</v>
      </c>
      <c r="D1069" s="2" t="str">
        <f>"33 Довідки різного характеру"</f>
        <v>33 Довідки різного характеру</v>
      </c>
      <c r="E1069" s="1" t="s">
        <v>20</v>
      </c>
      <c r="F106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69" s="1" t="str">
        <f t="shared" si="138"/>
        <v>Фізична особа</v>
      </c>
      <c r="H1069" s="1" t="s">
        <v>20</v>
      </c>
      <c r="I1069" s="1" t="s">
        <v>20</v>
      </c>
      <c r="J1069" s="1" t="str">
        <f t="shared" si="141"/>
        <v>Закрито</v>
      </c>
      <c r="K1069" s="5">
        <v>45604</v>
      </c>
      <c r="L1069" s="1" t="s">
        <v>20</v>
      </c>
      <c r="M1069" s="1" t="s">
        <v>22</v>
      </c>
      <c r="N1069" s="5">
        <v>45604</v>
      </c>
    </row>
    <row r="1070" spans="1:14" x14ac:dyDescent="0.3">
      <c r="A1070" s="1" t="str">
        <f>"12_842-11/2024/З"</f>
        <v>12_842-11/2024/З</v>
      </c>
      <c r="B1070" s="6">
        <v>45604</v>
      </c>
      <c r="C1070" s="1" t="str">
        <f>"00038"</f>
        <v>00038</v>
      </c>
      <c r="D107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70" s="1" t="s">
        <v>20</v>
      </c>
      <c r="F107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70" s="1" t="str">
        <f t="shared" si="138"/>
        <v>Фізична особа</v>
      </c>
      <c r="H1070" s="1" t="s">
        <v>20</v>
      </c>
      <c r="I1070" s="1" t="s">
        <v>20</v>
      </c>
      <c r="J1070" s="1" t="str">
        <f t="shared" si="141"/>
        <v>Закрито</v>
      </c>
      <c r="K1070" s="5">
        <v>45604</v>
      </c>
      <c r="L1070" s="1" t="s">
        <v>20</v>
      </c>
      <c r="M1070" s="1" t="s">
        <v>22</v>
      </c>
      <c r="N1070" s="5">
        <v>45604</v>
      </c>
    </row>
    <row r="1071" spans="1:14" x14ac:dyDescent="0.3">
      <c r="A1071" s="1" t="str">
        <f>"23_435-11/2024/М"</f>
        <v>23_435-11/2024/М</v>
      </c>
      <c r="B1071" s="6">
        <v>45604</v>
      </c>
      <c r="C1071" s="1" t="str">
        <f>"00038"</f>
        <v>00038</v>
      </c>
      <c r="D107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71" s="1" t="s">
        <v>20</v>
      </c>
      <c r="F107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71" s="1" t="str">
        <f t="shared" ref="G1071:G1087" si="142">"Фізична особа"</f>
        <v>Фізична особа</v>
      </c>
      <c r="H1071" s="1" t="s">
        <v>20</v>
      </c>
      <c r="I1071" s="1" t="s">
        <v>20</v>
      </c>
      <c r="J1071" s="1" t="str">
        <f t="shared" si="141"/>
        <v>Закрито</v>
      </c>
      <c r="K1071" s="5">
        <v>45604</v>
      </c>
      <c r="L1071" s="1" t="s">
        <v>20</v>
      </c>
      <c r="M1071" s="1" t="s">
        <v>22</v>
      </c>
      <c r="N1071" s="5">
        <v>45604</v>
      </c>
    </row>
    <row r="1072" spans="1:14" x14ac:dyDescent="0.3">
      <c r="A1072" s="1" t="str">
        <f>"1_5727/2129-11/2024/М"</f>
        <v>1_5727/2129-11/2024/М</v>
      </c>
      <c r="B1072" s="6">
        <v>45604</v>
      </c>
      <c r="C1072" s="1" t="str">
        <f>"00038"</f>
        <v>00038</v>
      </c>
      <c r="D107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72" s="1" t="s">
        <v>20</v>
      </c>
      <c r="F107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72" s="1" t="str">
        <f t="shared" si="142"/>
        <v>Фізична особа</v>
      </c>
      <c r="H1072" s="1" t="s">
        <v>20</v>
      </c>
      <c r="I1072" s="1" t="s">
        <v>20</v>
      </c>
      <c r="J1072" s="1" t="str">
        <f t="shared" si="141"/>
        <v>Закрито</v>
      </c>
      <c r="K1072" s="6">
        <v>45604</v>
      </c>
      <c r="L1072" s="1" t="s">
        <v>20</v>
      </c>
      <c r="M1072" s="1" t="s">
        <v>22</v>
      </c>
      <c r="N1072" s="5">
        <v>45604</v>
      </c>
    </row>
    <row r="1073" spans="1:14" x14ac:dyDescent="0.3">
      <c r="A1073" s="1" t="str">
        <f>"23_436-11/2024/М"</f>
        <v>23_436-11/2024/М</v>
      </c>
      <c r="B1073" s="6">
        <v>45604</v>
      </c>
      <c r="C1073" s="1" t="str">
        <f>"00064"</f>
        <v>00064</v>
      </c>
      <c r="D1073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073" s="1" t="s">
        <v>20</v>
      </c>
      <c r="F1073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073" s="1" t="str">
        <f t="shared" si="142"/>
        <v>Фізична особа</v>
      </c>
      <c r="H1073" s="1" t="s">
        <v>20</v>
      </c>
      <c r="I1073" s="1" t="s">
        <v>20</v>
      </c>
      <c r="J1073" s="1" t="str">
        <f t="shared" si="141"/>
        <v>Закрито</v>
      </c>
      <c r="K1073" s="5">
        <v>45604</v>
      </c>
      <c r="L1073" s="1" t="s">
        <v>20</v>
      </c>
      <c r="M1073" s="1" t="s">
        <v>22</v>
      </c>
      <c r="N1073" s="5">
        <v>45604</v>
      </c>
    </row>
    <row r="1074" spans="1:14" x14ac:dyDescent="0.3">
      <c r="A1074" s="1" t="str">
        <f>"30_608-11/2024/С"</f>
        <v>30_608-11/2024/С</v>
      </c>
      <c r="B1074" s="6">
        <v>45604</v>
      </c>
      <c r="C1074" s="1" t="str">
        <f>"00034"</f>
        <v>00034</v>
      </c>
      <c r="D1074" s="2" t="str">
        <f>"Реєстрація місця проживання"</f>
        <v>Реєстрація місця проживання</v>
      </c>
      <c r="E1074" s="1" t="s">
        <v>20</v>
      </c>
      <c r="F107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74" s="1" t="str">
        <f t="shared" si="142"/>
        <v>Фізична особа</v>
      </c>
      <c r="H1074" s="1" t="s">
        <v>20</v>
      </c>
      <c r="I1074" s="1" t="s">
        <v>20</v>
      </c>
      <c r="J1074" s="1" t="str">
        <f t="shared" si="141"/>
        <v>Закрито</v>
      </c>
      <c r="K1074" s="1" t="s">
        <v>20</v>
      </c>
      <c r="L1074" s="1" t="s">
        <v>20</v>
      </c>
      <c r="M1074" s="1" t="s">
        <v>22</v>
      </c>
      <c r="N1074" s="1" t="s">
        <v>20</v>
      </c>
    </row>
    <row r="1075" spans="1:14" x14ac:dyDescent="0.3">
      <c r="A1075" s="1" t="str">
        <f>"30_609-11/2024/К"</f>
        <v>30_609-11/2024/К</v>
      </c>
      <c r="B1075" s="6">
        <v>45604</v>
      </c>
      <c r="C1075" s="1" t="str">
        <f>"00038"</f>
        <v>00038</v>
      </c>
      <c r="D107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75" s="1" t="s">
        <v>20</v>
      </c>
      <c r="F10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75" s="1" t="str">
        <f t="shared" si="142"/>
        <v>Фізична особа</v>
      </c>
      <c r="H1075" s="1" t="s">
        <v>20</v>
      </c>
      <c r="I1075" s="1" t="s">
        <v>20</v>
      </c>
      <c r="J1075" s="1" t="str">
        <f t="shared" si="141"/>
        <v>Закрито</v>
      </c>
      <c r="K1075" s="5">
        <v>45604</v>
      </c>
      <c r="L1075" s="1" t="s">
        <v>20</v>
      </c>
      <c r="M1075" s="1" t="s">
        <v>22</v>
      </c>
      <c r="N1075" s="5">
        <v>45604</v>
      </c>
    </row>
    <row r="1076" spans="1:14" x14ac:dyDescent="0.3">
      <c r="A1076" s="1" t="str">
        <f>"1_5728/2129-11/2024/С"</f>
        <v>1_5728/2129-11/2024/С</v>
      </c>
      <c r="B1076" s="6">
        <v>45604</v>
      </c>
      <c r="C1076" s="1" t="str">
        <f>"00038"</f>
        <v>00038</v>
      </c>
      <c r="D107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76" s="1" t="s">
        <v>20</v>
      </c>
      <c r="F107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76" s="1" t="str">
        <f t="shared" si="142"/>
        <v>Фізична особа</v>
      </c>
      <c r="H1076" s="1" t="s">
        <v>20</v>
      </c>
      <c r="I1076" s="1" t="s">
        <v>20</v>
      </c>
      <c r="J1076" s="1" t="str">
        <f t="shared" si="141"/>
        <v>Закрито</v>
      </c>
      <c r="K1076" s="6">
        <v>45604</v>
      </c>
      <c r="L1076" s="1" t="s">
        <v>20</v>
      </c>
      <c r="M1076" s="1" t="s">
        <v>22</v>
      </c>
      <c r="N1076" s="5">
        <v>45604</v>
      </c>
    </row>
    <row r="1077" spans="1:14" x14ac:dyDescent="0.3">
      <c r="A1077" s="1" t="str">
        <f>"23_437-11/2024/С"</f>
        <v>23_437-11/2024/С</v>
      </c>
      <c r="B1077" s="6">
        <v>45604</v>
      </c>
      <c r="C1077" s="1" t="str">
        <f>"00038"</f>
        <v>00038</v>
      </c>
      <c r="D107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77" s="1" t="s">
        <v>20</v>
      </c>
      <c r="F107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77" s="1" t="str">
        <f t="shared" si="142"/>
        <v>Фізична особа</v>
      </c>
      <c r="H1077" s="1" t="s">
        <v>20</v>
      </c>
      <c r="I1077" s="1" t="s">
        <v>20</v>
      </c>
      <c r="J1077" s="1" t="str">
        <f t="shared" si="141"/>
        <v>Закрито</v>
      </c>
      <c r="K1077" s="5">
        <v>45604</v>
      </c>
      <c r="L1077" s="1" t="s">
        <v>20</v>
      </c>
      <c r="M1077" s="1" t="s">
        <v>22</v>
      </c>
      <c r="N1077" s="5">
        <v>45604</v>
      </c>
    </row>
    <row r="1078" spans="1:14" x14ac:dyDescent="0.3">
      <c r="A1078" s="1" t="str">
        <f>"12_843-11/2024/В"</f>
        <v>12_843-11/2024/В</v>
      </c>
      <c r="B1078" s="6">
        <v>45604</v>
      </c>
      <c r="C1078" s="1" t="str">
        <f>"00038"</f>
        <v>00038</v>
      </c>
      <c r="D107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78" s="1" t="s">
        <v>20</v>
      </c>
      <c r="F107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78" s="1" t="str">
        <f t="shared" si="142"/>
        <v>Фізична особа</v>
      </c>
      <c r="H1078" s="1" t="s">
        <v>20</v>
      </c>
      <c r="I1078" s="1" t="s">
        <v>20</v>
      </c>
      <c r="J1078" s="1" t="str">
        <f t="shared" si="141"/>
        <v>Закрито</v>
      </c>
      <c r="K1078" s="5">
        <v>45604</v>
      </c>
      <c r="L1078" s="1" t="s">
        <v>20</v>
      </c>
      <c r="M1078" s="1" t="s">
        <v>22</v>
      </c>
      <c r="N1078" s="5">
        <v>45604</v>
      </c>
    </row>
    <row r="1079" spans="1:14" x14ac:dyDescent="0.3">
      <c r="A1079" s="1" t="str">
        <f>"12_844-11/2024/В"</f>
        <v>12_844-11/2024/В</v>
      </c>
      <c r="B1079" s="6">
        <v>45604</v>
      </c>
      <c r="C1079" s="1" t="str">
        <f>"00155"</f>
        <v>00155</v>
      </c>
      <c r="D1079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079" s="1" t="str">
        <f>"03193413"</f>
        <v>03193413</v>
      </c>
      <c r="F107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79" s="1" t="str">
        <f t="shared" si="142"/>
        <v>Фізична особа</v>
      </c>
      <c r="H1079" s="1" t="s">
        <v>20</v>
      </c>
      <c r="I1079" s="1" t="s">
        <v>20</v>
      </c>
      <c r="J1079" s="1" t="str">
        <f t="shared" si="141"/>
        <v>Закрито</v>
      </c>
      <c r="K1079" s="5">
        <v>45653</v>
      </c>
      <c r="L1079" s="1" t="s">
        <v>20</v>
      </c>
      <c r="M1079" s="1" t="s">
        <v>22</v>
      </c>
      <c r="N1079" s="5">
        <v>45653</v>
      </c>
    </row>
    <row r="1080" spans="1:14" x14ac:dyDescent="0.3">
      <c r="A1080" s="1" t="str">
        <f>"12_845-11/2024/В"</f>
        <v>12_845-11/2024/В</v>
      </c>
      <c r="B1080" s="6">
        <v>45604</v>
      </c>
      <c r="C1080" s="1" t="str">
        <f>"00155"</f>
        <v>00155</v>
      </c>
      <c r="D1080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080" s="1" t="str">
        <f>"03193413"</f>
        <v>03193413</v>
      </c>
      <c r="F108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080" s="1" t="str">
        <f t="shared" si="142"/>
        <v>Фізична особа</v>
      </c>
      <c r="H1080" s="1" t="s">
        <v>20</v>
      </c>
      <c r="I1080" s="1" t="s">
        <v>20</v>
      </c>
      <c r="J1080" s="1" t="str">
        <f t="shared" si="141"/>
        <v>Закрито</v>
      </c>
      <c r="K1080" s="5">
        <v>45653</v>
      </c>
      <c r="L1080" s="1" t="s">
        <v>20</v>
      </c>
      <c r="M1080" s="1" t="s">
        <v>22</v>
      </c>
      <c r="N1080" s="5">
        <v>45653</v>
      </c>
    </row>
    <row r="1081" spans="1:14" x14ac:dyDescent="0.3">
      <c r="A1081" s="1" t="str">
        <f>"4_943-11/2024/Ф"</f>
        <v>4_943-11/2024/Ф</v>
      </c>
      <c r="B1081" s="6">
        <v>45604</v>
      </c>
      <c r="C1081" s="1" t="str">
        <f>"33"</f>
        <v>33</v>
      </c>
      <c r="D1081" s="2" t="str">
        <f>"33 Довідки різного характеру"</f>
        <v>33 Довідки різного характеру</v>
      </c>
      <c r="E1081" s="1" t="s">
        <v>20</v>
      </c>
      <c r="F10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81" s="1" t="str">
        <f t="shared" si="142"/>
        <v>Фізична особа</v>
      </c>
      <c r="H1081" s="1" t="s">
        <v>20</v>
      </c>
      <c r="I1081" s="1" t="s">
        <v>20</v>
      </c>
      <c r="J1081" s="1" t="str">
        <f t="shared" si="141"/>
        <v>Закрито</v>
      </c>
      <c r="K1081" s="5">
        <v>45604</v>
      </c>
      <c r="L1081" s="1" t="s">
        <v>20</v>
      </c>
      <c r="M1081" s="1" t="s">
        <v>22</v>
      </c>
      <c r="N1081" s="5">
        <v>45604</v>
      </c>
    </row>
    <row r="1082" spans="1:14" x14ac:dyDescent="0.3">
      <c r="A1082" s="1" t="str">
        <f>"4_944-11/2024/Г"</f>
        <v>4_944-11/2024/Г</v>
      </c>
      <c r="B1082" s="6">
        <v>45604</v>
      </c>
      <c r="C1082" s="1" t="str">
        <f>"33"</f>
        <v>33</v>
      </c>
      <c r="D1082" s="2" t="str">
        <f>"33 Довідки різного характеру"</f>
        <v>33 Довідки різного характеру</v>
      </c>
      <c r="E1082" s="1" t="s">
        <v>20</v>
      </c>
      <c r="F108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82" s="1" t="str">
        <f t="shared" si="142"/>
        <v>Фізична особа</v>
      </c>
      <c r="H1082" s="1" t="s">
        <v>20</v>
      </c>
      <c r="I1082" s="1" t="s">
        <v>20</v>
      </c>
      <c r="J1082" s="1" t="str">
        <f t="shared" si="141"/>
        <v>Закрито</v>
      </c>
      <c r="K1082" s="5">
        <v>45604</v>
      </c>
      <c r="L1082" s="1" t="s">
        <v>20</v>
      </c>
      <c r="M1082" s="1" t="s">
        <v>22</v>
      </c>
      <c r="N1082" s="5">
        <v>45604</v>
      </c>
    </row>
    <row r="1083" spans="1:14" x14ac:dyDescent="0.3">
      <c r="A1083" s="1" t="str">
        <f>"4_945-11/2024/А"</f>
        <v>4_945-11/2024/А</v>
      </c>
      <c r="B1083" s="6">
        <v>45604</v>
      </c>
      <c r="C1083" s="1" t="str">
        <f>"00038"</f>
        <v>00038</v>
      </c>
      <c r="D108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83" s="1" t="s">
        <v>20</v>
      </c>
      <c r="F108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83" s="1" t="str">
        <f t="shared" si="142"/>
        <v>Фізична особа</v>
      </c>
      <c r="H1083" s="1" t="s">
        <v>20</v>
      </c>
      <c r="I1083" s="1" t="s">
        <v>20</v>
      </c>
      <c r="J1083" s="1" t="str">
        <f t="shared" si="141"/>
        <v>Закрито</v>
      </c>
      <c r="K1083" s="5">
        <v>45604</v>
      </c>
      <c r="L1083" s="1" t="s">
        <v>20</v>
      </c>
      <c r="M1083" s="1" t="s">
        <v>22</v>
      </c>
      <c r="N1083" s="5">
        <v>45604</v>
      </c>
    </row>
    <row r="1084" spans="1:14" x14ac:dyDescent="0.3">
      <c r="A1084" s="1" t="str">
        <f>"1_5729/2129-11/2024/Ч"</f>
        <v>1_5729/2129-11/2024/Ч</v>
      </c>
      <c r="B1084" s="6">
        <v>45607</v>
      </c>
      <c r="C1084" s="1" t="str">
        <f>"00038"</f>
        <v>00038</v>
      </c>
      <c r="D108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84" s="1" t="s">
        <v>20</v>
      </c>
      <c r="F108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84" s="1" t="str">
        <f t="shared" si="142"/>
        <v>Фізична особа</v>
      </c>
      <c r="H1084" s="1" t="s">
        <v>20</v>
      </c>
      <c r="I1084" s="1" t="s">
        <v>20</v>
      </c>
      <c r="J1084" s="1" t="str">
        <f t="shared" si="141"/>
        <v>Закрито</v>
      </c>
      <c r="K1084" s="6">
        <v>45607</v>
      </c>
      <c r="L1084" s="1" t="s">
        <v>20</v>
      </c>
      <c r="M1084" s="1" t="s">
        <v>22</v>
      </c>
      <c r="N1084" s="5">
        <v>45607</v>
      </c>
    </row>
    <row r="1085" spans="1:14" x14ac:dyDescent="0.3">
      <c r="A1085" s="1" t="str">
        <f>"1_5730/2129-11/2024/Ж"</f>
        <v>1_5730/2129-11/2024/Ж</v>
      </c>
      <c r="B1085" s="6">
        <v>45607</v>
      </c>
      <c r="C1085" s="1" t="str">
        <f>"00038"</f>
        <v>00038</v>
      </c>
      <c r="D108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85" s="1" t="s">
        <v>20</v>
      </c>
      <c r="F108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85" s="1" t="str">
        <f t="shared" si="142"/>
        <v>Фізична особа</v>
      </c>
      <c r="H1085" s="1" t="s">
        <v>20</v>
      </c>
      <c r="I1085" s="1" t="s">
        <v>20</v>
      </c>
      <c r="J1085" s="1" t="str">
        <f t="shared" si="141"/>
        <v>Закрито</v>
      </c>
      <c r="K1085" s="6">
        <v>45607</v>
      </c>
      <c r="L1085" s="1" t="s">
        <v>20</v>
      </c>
      <c r="M1085" s="1" t="s">
        <v>22</v>
      </c>
      <c r="N1085" s="5">
        <v>45607</v>
      </c>
    </row>
    <row r="1086" spans="1:14" x14ac:dyDescent="0.3">
      <c r="A1086" s="1" t="str">
        <f>"3_1347/4-11/2024/З"</f>
        <v>3_1347/4-11/2024/З</v>
      </c>
      <c r="B1086" s="6">
        <v>45607</v>
      </c>
      <c r="C1086" s="1" t="str">
        <f>"00060"</f>
        <v>00060</v>
      </c>
      <c r="D1086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086" s="1" t="s">
        <v>20</v>
      </c>
      <c r="F1086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086" s="1" t="str">
        <f t="shared" si="142"/>
        <v>Фізична особа</v>
      </c>
      <c r="H1086" s="1" t="s">
        <v>20</v>
      </c>
      <c r="I1086" s="1" t="s">
        <v>20</v>
      </c>
      <c r="J1086" s="1" t="str">
        <f>"Результат підготовлено СНАП"</f>
        <v>Результат підготовлено СНАП</v>
      </c>
      <c r="K1086" s="5">
        <v>45614</v>
      </c>
      <c r="L1086" s="1" t="str">
        <f>"151.4"</f>
        <v>151.4</v>
      </c>
      <c r="M1086" s="1" t="s">
        <v>22</v>
      </c>
      <c r="N1086" s="1" t="s">
        <v>20</v>
      </c>
    </row>
    <row r="1087" spans="1:14" x14ac:dyDescent="0.3">
      <c r="A1087" s="1" t="str">
        <f>"3_1348/4-11/2024/Г"</f>
        <v>3_1348/4-11/2024/Г</v>
      </c>
      <c r="B1087" s="6">
        <v>45607</v>
      </c>
      <c r="C1087" s="1" t="str">
        <f>"00060"</f>
        <v>00060</v>
      </c>
      <c r="D1087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087" s="1" t="s">
        <v>20</v>
      </c>
      <c r="F1087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087" s="1" t="str">
        <f t="shared" si="142"/>
        <v>Фізична особа</v>
      </c>
      <c r="H1087" s="1" t="s">
        <v>20</v>
      </c>
      <c r="I1087" s="1" t="s">
        <v>20</v>
      </c>
      <c r="J1087" s="1" t="str">
        <f>"Закрито"</f>
        <v>Закрито</v>
      </c>
      <c r="K1087" s="5">
        <v>45607</v>
      </c>
      <c r="L1087" s="1" t="str">
        <f>"151.4"</f>
        <v>151.4</v>
      </c>
      <c r="M1087" s="1" t="s">
        <v>22</v>
      </c>
      <c r="N1087" s="5">
        <v>45607</v>
      </c>
    </row>
    <row r="1088" spans="1:14" x14ac:dyDescent="0.3">
      <c r="A1088" s="1" t="str">
        <f>"1_5731/2129-11/2024/У"</f>
        <v>1_5731/2129-11/2024/У</v>
      </c>
      <c r="B1088" s="6">
        <v>45607</v>
      </c>
      <c r="C1088" s="1" t="str">
        <f>"00037"</f>
        <v>00037</v>
      </c>
      <c r="D1088" s="2" t="str">
        <f>"Зняття з реєстрації місця проживання"</f>
        <v>Зняття з реєстрації місця проживання</v>
      </c>
      <c r="E1088" s="1" t="s">
        <v>20</v>
      </c>
      <c r="F10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88" s="1" t="str">
        <f>"Юридична особа"</f>
        <v>Юридична особа</v>
      </c>
      <c r="H1088" s="1" t="str">
        <f>"Управління ДМС в Івано-Франківській області"</f>
        <v>Управління ДМС в Івано-Франківській області</v>
      </c>
      <c r="I1088" s="1" t="s">
        <v>20</v>
      </c>
      <c r="J1088" s="1" t="str">
        <f>"Закрито"</f>
        <v>Закрито</v>
      </c>
      <c r="K1088" s="6">
        <v>45607</v>
      </c>
      <c r="L1088" s="1" t="s">
        <v>20</v>
      </c>
      <c r="M1088" s="1" t="s">
        <v>22</v>
      </c>
      <c r="N1088" s="5">
        <v>45607</v>
      </c>
    </row>
    <row r="1089" spans="1:14" x14ac:dyDescent="0.3">
      <c r="A1089" s="1" t="str">
        <f>"3_1349/4-11/2024/Г"</f>
        <v>3_1349/4-11/2024/Г</v>
      </c>
      <c r="B1089" s="6">
        <v>45607</v>
      </c>
      <c r="C1089" s="1" t="str">
        <f>"00060"</f>
        <v>00060</v>
      </c>
      <c r="D1089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089" s="1" t="s">
        <v>20</v>
      </c>
      <c r="F1089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089" s="1" t="str">
        <f t="shared" ref="G1089:G1105" si="143">"Фізична особа"</f>
        <v>Фізична особа</v>
      </c>
      <c r="H1089" s="1" t="s">
        <v>20</v>
      </c>
      <c r="I1089" s="1" t="s">
        <v>20</v>
      </c>
      <c r="J1089" s="1" t="str">
        <f>"Результат підготовлено СНАП"</f>
        <v>Результат підготовлено СНАП</v>
      </c>
      <c r="K1089" s="5">
        <v>45614</v>
      </c>
      <c r="L1089" s="1" t="str">
        <f>"151.4"</f>
        <v>151.4</v>
      </c>
      <c r="M1089" s="1" t="s">
        <v>22</v>
      </c>
      <c r="N1089" s="1" t="s">
        <v>20</v>
      </c>
    </row>
    <row r="1090" spans="1:14" x14ac:dyDescent="0.3">
      <c r="A1090" s="1" t="str">
        <f>"3_1350/4-11/2024/С"</f>
        <v>3_1350/4-11/2024/С</v>
      </c>
      <c r="B1090" s="6">
        <v>45607</v>
      </c>
      <c r="C1090" s="1" t="str">
        <f>"00060"</f>
        <v>00060</v>
      </c>
      <c r="D1090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090" s="1" t="s">
        <v>20</v>
      </c>
      <c r="F1090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090" s="1" t="str">
        <f t="shared" si="143"/>
        <v>Фізична особа</v>
      </c>
      <c r="H1090" s="1" t="s">
        <v>20</v>
      </c>
      <c r="I1090" s="1" t="s">
        <v>20</v>
      </c>
      <c r="J1090" s="1" t="str">
        <f t="shared" ref="J1090:J1130" si="144">"Закрито"</f>
        <v>Закрито</v>
      </c>
      <c r="K1090" s="5">
        <v>45622</v>
      </c>
      <c r="L1090" s="1" t="str">
        <f>"151.4"</f>
        <v>151.4</v>
      </c>
      <c r="M1090" s="1" t="s">
        <v>22</v>
      </c>
      <c r="N1090" s="5">
        <v>45622</v>
      </c>
    </row>
    <row r="1091" spans="1:14" x14ac:dyDescent="0.3">
      <c r="A1091" s="1" t="str">
        <f>"3_1351/4-11/2024/С"</f>
        <v>3_1351/4-11/2024/С</v>
      </c>
      <c r="B1091" s="6">
        <v>45607</v>
      </c>
      <c r="C1091" s="1" t="str">
        <f>"00060"</f>
        <v>00060</v>
      </c>
      <c r="D1091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091" s="1" t="s">
        <v>20</v>
      </c>
      <c r="F1091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091" s="1" t="str">
        <f t="shared" si="143"/>
        <v>Фізична особа</v>
      </c>
      <c r="H1091" s="1" t="s">
        <v>20</v>
      </c>
      <c r="I1091" s="1" t="s">
        <v>20</v>
      </c>
      <c r="J1091" s="1" t="str">
        <f t="shared" si="144"/>
        <v>Закрито</v>
      </c>
      <c r="K1091" s="5">
        <v>45622</v>
      </c>
      <c r="L1091" s="1" t="str">
        <f>"151.4"</f>
        <v>151.4</v>
      </c>
      <c r="M1091" s="1" t="s">
        <v>22</v>
      </c>
      <c r="N1091" s="5">
        <v>45622</v>
      </c>
    </row>
    <row r="1092" spans="1:14" x14ac:dyDescent="0.3">
      <c r="A1092" s="1" t="str">
        <f>"3_1352/4-11/2024/С"</f>
        <v>3_1352/4-11/2024/С</v>
      </c>
      <c r="B1092" s="6">
        <v>45607</v>
      </c>
      <c r="C1092" s="1" t="str">
        <f>"00060"</f>
        <v>00060</v>
      </c>
      <c r="D1092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092" s="1" t="s">
        <v>20</v>
      </c>
      <c r="F1092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092" s="1" t="str">
        <f t="shared" si="143"/>
        <v>Фізична особа</v>
      </c>
      <c r="H1092" s="1" t="s">
        <v>20</v>
      </c>
      <c r="I1092" s="1" t="s">
        <v>20</v>
      </c>
      <c r="J1092" s="1" t="str">
        <f t="shared" si="144"/>
        <v>Закрито</v>
      </c>
      <c r="K1092" s="5">
        <v>45622</v>
      </c>
      <c r="L1092" s="1" t="str">
        <f>"151.4"</f>
        <v>151.4</v>
      </c>
      <c r="M1092" s="1" t="s">
        <v>22</v>
      </c>
      <c r="N1092" s="5">
        <v>45622</v>
      </c>
    </row>
    <row r="1093" spans="1:14" x14ac:dyDescent="0.3">
      <c r="A1093" s="1" t="str">
        <f>"1_5732/2129-11/2024/А"</f>
        <v>1_5732/2129-11/2024/А</v>
      </c>
      <c r="B1093" s="6">
        <v>45607</v>
      </c>
      <c r="C1093" s="1" t="str">
        <f>"00038"</f>
        <v>00038</v>
      </c>
      <c r="D109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93" s="1" t="s">
        <v>20</v>
      </c>
      <c r="F109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93" s="1" t="str">
        <f t="shared" si="143"/>
        <v>Фізична особа</v>
      </c>
      <c r="H1093" s="1" t="s">
        <v>20</v>
      </c>
      <c r="I1093" s="1" t="s">
        <v>20</v>
      </c>
      <c r="J1093" s="1" t="str">
        <f t="shared" si="144"/>
        <v>Закрито</v>
      </c>
      <c r="K1093" s="6">
        <v>45607</v>
      </c>
      <c r="L1093" s="1" t="s">
        <v>20</v>
      </c>
      <c r="M1093" s="1" t="s">
        <v>22</v>
      </c>
      <c r="N1093" s="5">
        <v>45607</v>
      </c>
    </row>
    <row r="1094" spans="1:14" x14ac:dyDescent="0.3">
      <c r="A1094" s="1" t="str">
        <f>"3_1353/4-11/2024/С"</f>
        <v>3_1353/4-11/2024/С</v>
      </c>
      <c r="B1094" s="6">
        <v>45607</v>
      </c>
      <c r="C1094" s="1" t="str">
        <f>"00060"</f>
        <v>00060</v>
      </c>
      <c r="D1094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094" s="1" t="s">
        <v>20</v>
      </c>
      <c r="F1094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094" s="1" t="str">
        <f t="shared" si="143"/>
        <v>Фізична особа</v>
      </c>
      <c r="H1094" s="1" t="s">
        <v>20</v>
      </c>
      <c r="I1094" s="1" t="s">
        <v>20</v>
      </c>
      <c r="J1094" s="1" t="str">
        <f t="shared" si="144"/>
        <v>Закрито</v>
      </c>
      <c r="K1094" s="5">
        <v>45622</v>
      </c>
      <c r="L1094" s="1" t="str">
        <f>"151.4"</f>
        <v>151.4</v>
      </c>
      <c r="M1094" s="1" t="s">
        <v>22</v>
      </c>
      <c r="N1094" s="5">
        <v>45622</v>
      </c>
    </row>
    <row r="1095" spans="1:14" x14ac:dyDescent="0.3">
      <c r="A1095" s="1" t="str">
        <f>"1_5733/2129-11/2024/Ж"</f>
        <v>1_5733/2129-11/2024/Ж</v>
      </c>
      <c r="B1095" s="6">
        <v>45607</v>
      </c>
      <c r="C1095" s="1" t="str">
        <f>"00038"</f>
        <v>00038</v>
      </c>
      <c r="D109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95" s="1" t="s">
        <v>20</v>
      </c>
      <c r="F109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95" s="1" t="str">
        <f t="shared" si="143"/>
        <v>Фізична особа</v>
      </c>
      <c r="H1095" s="1" t="s">
        <v>20</v>
      </c>
      <c r="I1095" s="1" t="s">
        <v>20</v>
      </c>
      <c r="J1095" s="1" t="str">
        <f t="shared" si="144"/>
        <v>Закрито</v>
      </c>
      <c r="K1095" s="6">
        <v>45607</v>
      </c>
      <c r="L1095" s="1" t="s">
        <v>20</v>
      </c>
      <c r="M1095" s="1" t="s">
        <v>22</v>
      </c>
      <c r="N1095" s="5">
        <v>45607</v>
      </c>
    </row>
    <row r="1096" spans="1:14" x14ac:dyDescent="0.3">
      <c r="A1096" s="1" t="str">
        <f>"3_1354/4-11/2024/С"</f>
        <v>3_1354/4-11/2024/С</v>
      </c>
      <c r="B1096" s="6">
        <v>45607</v>
      </c>
      <c r="C1096" s="1" t="str">
        <f>"00060"</f>
        <v>00060</v>
      </c>
      <c r="D1096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096" s="1" t="s">
        <v>20</v>
      </c>
      <c r="F1096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096" s="1" t="str">
        <f t="shared" si="143"/>
        <v>Фізична особа</v>
      </c>
      <c r="H1096" s="1" t="s">
        <v>20</v>
      </c>
      <c r="I1096" s="1" t="s">
        <v>20</v>
      </c>
      <c r="J1096" s="1" t="str">
        <f t="shared" si="144"/>
        <v>Закрито</v>
      </c>
      <c r="K1096" s="5">
        <v>45622</v>
      </c>
      <c r="L1096" s="1" t="str">
        <f>"151.4"</f>
        <v>151.4</v>
      </c>
      <c r="M1096" s="1" t="s">
        <v>22</v>
      </c>
      <c r="N1096" s="5">
        <v>45622</v>
      </c>
    </row>
    <row r="1097" spans="1:14" x14ac:dyDescent="0.3">
      <c r="A1097" s="1" t="str">
        <f>"3_1355/4-11/2024/С"</f>
        <v>3_1355/4-11/2024/С</v>
      </c>
      <c r="B1097" s="6">
        <v>45607</v>
      </c>
      <c r="C1097" s="1" t="str">
        <f>"00060"</f>
        <v>00060</v>
      </c>
      <c r="D1097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097" s="1" t="s">
        <v>20</v>
      </c>
      <c r="F1097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097" s="1" t="str">
        <f t="shared" si="143"/>
        <v>Фізична особа</v>
      </c>
      <c r="H1097" s="1" t="s">
        <v>20</v>
      </c>
      <c r="I1097" s="1" t="s">
        <v>20</v>
      </c>
      <c r="J1097" s="1" t="str">
        <f t="shared" si="144"/>
        <v>Закрито</v>
      </c>
      <c r="K1097" s="5">
        <v>45622</v>
      </c>
      <c r="L1097" s="1" t="str">
        <f>"151.4"</f>
        <v>151.4</v>
      </c>
      <c r="M1097" s="1" t="s">
        <v>22</v>
      </c>
      <c r="N1097" s="5">
        <v>45622</v>
      </c>
    </row>
    <row r="1098" spans="1:14" x14ac:dyDescent="0.3">
      <c r="A1098" s="1" t="str">
        <f>"1_5734/2129-11/2024/Ж"</f>
        <v>1_5734/2129-11/2024/Ж</v>
      </c>
      <c r="B1098" s="6">
        <v>45607</v>
      </c>
      <c r="C1098" s="1" t="str">
        <f>"00038"</f>
        <v>00038</v>
      </c>
      <c r="D109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098" s="1" t="s">
        <v>20</v>
      </c>
      <c r="F1098" s="1" t="str">
        <f t="shared" ref="F1098:F1103" si="145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098" s="1" t="str">
        <f t="shared" si="143"/>
        <v>Фізична особа</v>
      </c>
      <c r="H1098" s="1" t="s">
        <v>20</v>
      </c>
      <c r="I1098" s="1" t="s">
        <v>20</v>
      </c>
      <c r="J1098" s="1" t="str">
        <f t="shared" si="144"/>
        <v>Закрито</v>
      </c>
      <c r="K1098" s="6">
        <v>45607</v>
      </c>
      <c r="L1098" s="1" t="s">
        <v>20</v>
      </c>
      <c r="M1098" s="1" t="s">
        <v>22</v>
      </c>
      <c r="N1098" s="5">
        <v>45607</v>
      </c>
    </row>
    <row r="1099" spans="1:14" x14ac:dyDescent="0.3">
      <c r="A1099" s="1" t="str">
        <f>"2_1928/2129-11/2024/В"</f>
        <v>2_1928/2129-11/2024/В</v>
      </c>
      <c r="B1099" s="6">
        <v>45607</v>
      </c>
      <c r="C1099" s="1" t="str">
        <f>"00041"</f>
        <v>00041</v>
      </c>
      <c r="D109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099" s="1" t="s">
        <v>20</v>
      </c>
      <c r="F1099" s="1" t="str">
        <f t="shared" si="145"/>
        <v>Центр надання адміністративних послуг Рогатинської міської ради</v>
      </c>
      <c r="G1099" s="1" t="str">
        <f t="shared" si="143"/>
        <v>Фізична особа</v>
      </c>
      <c r="H1099" s="1" t="s">
        <v>20</v>
      </c>
      <c r="I1099" s="1" t="s">
        <v>20</v>
      </c>
      <c r="J1099" s="1" t="str">
        <f t="shared" si="144"/>
        <v>Закрито</v>
      </c>
      <c r="K1099" s="5">
        <v>45607</v>
      </c>
      <c r="L1099" s="1" t="s">
        <v>20</v>
      </c>
      <c r="M1099" s="1" t="s">
        <v>22</v>
      </c>
      <c r="N1099" s="5">
        <v>45607</v>
      </c>
    </row>
    <row r="1100" spans="1:14" x14ac:dyDescent="0.3">
      <c r="A1100" s="1" t="str">
        <f>"2_1929/2129-11/2024/Л"</f>
        <v>2_1929/2129-11/2024/Л</v>
      </c>
      <c r="B1100" s="6">
        <v>45607</v>
      </c>
      <c r="C1100" s="1" t="str">
        <f>"00041"</f>
        <v>00041</v>
      </c>
      <c r="D110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00" s="1" t="s">
        <v>20</v>
      </c>
      <c r="F1100" s="1" t="str">
        <f t="shared" si="145"/>
        <v>Центр надання адміністративних послуг Рогатинської міської ради</v>
      </c>
      <c r="G1100" s="1" t="str">
        <f t="shared" si="143"/>
        <v>Фізична особа</v>
      </c>
      <c r="H1100" s="1" t="s">
        <v>20</v>
      </c>
      <c r="I1100" s="1" t="s">
        <v>20</v>
      </c>
      <c r="J1100" s="1" t="str">
        <f t="shared" si="144"/>
        <v>Закрито</v>
      </c>
      <c r="K1100" s="5">
        <v>45607</v>
      </c>
      <c r="L1100" s="1" t="s">
        <v>20</v>
      </c>
      <c r="M1100" s="1" t="s">
        <v>22</v>
      </c>
      <c r="N1100" s="5">
        <v>45607</v>
      </c>
    </row>
    <row r="1101" spans="1:14" x14ac:dyDescent="0.3">
      <c r="A1101" s="1" t="str">
        <f>"2_1930/2129-11/2024/Л"</f>
        <v>2_1930/2129-11/2024/Л</v>
      </c>
      <c r="B1101" s="6">
        <v>45607</v>
      </c>
      <c r="C1101" s="1" t="str">
        <f>"00041"</f>
        <v>00041</v>
      </c>
      <c r="D110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01" s="1" t="s">
        <v>20</v>
      </c>
      <c r="F1101" s="1" t="str">
        <f t="shared" si="145"/>
        <v>Центр надання адміністративних послуг Рогатинської міської ради</v>
      </c>
      <c r="G1101" s="1" t="str">
        <f t="shared" si="143"/>
        <v>Фізична особа</v>
      </c>
      <c r="H1101" s="1" t="s">
        <v>20</v>
      </c>
      <c r="I1101" s="1" t="s">
        <v>20</v>
      </c>
      <c r="J1101" s="1" t="str">
        <f t="shared" si="144"/>
        <v>Закрито</v>
      </c>
      <c r="K1101" s="5">
        <v>45607</v>
      </c>
      <c r="L1101" s="1" t="s">
        <v>20</v>
      </c>
      <c r="M1101" s="1" t="s">
        <v>22</v>
      </c>
      <c r="N1101" s="5">
        <v>45607</v>
      </c>
    </row>
    <row r="1102" spans="1:14" x14ac:dyDescent="0.3">
      <c r="A1102" s="1" t="str">
        <f>"35_507-11/2024/Г"</f>
        <v>35_507-11/2024/Г</v>
      </c>
      <c r="B1102" s="6">
        <v>45607</v>
      </c>
      <c r="C1102" s="1" t="str">
        <f>"33"</f>
        <v>33</v>
      </c>
      <c r="D1102" s="2" t="str">
        <f>"33 Довідки різного характеру"</f>
        <v>33 Довідки різного характеру</v>
      </c>
      <c r="E1102" s="1" t="s">
        <v>20</v>
      </c>
      <c r="F1102" s="1" t="str">
        <f t="shared" si="145"/>
        <v>Центр надання адміністративних послуг Рогатинської міської ради</v>
      </c>
      <c r="G1102" s="1" t="str">
        <f t="shared" si="143"/>
        <v>Фізична особа</v>
      </c>
      <c r="H1102" s="1" t="s">
        <v>20</v>
      </c>
      <c r="I1102" s="1" t="s">
        <v>20</v>
      </c>
      <c r="J1102" s="1" t="str">
        <f t="shared" si="144"/>
        <v>Закрито</v>
      </c>
      <c r="K1102" s="5">
        <v>45607</v>
      </c>
      <c r="L1102" s="1" t="s">
        <v>20</v>
      </c>
      <c r="M1102" s="1" t="s">
        <v>22</v>
      </c>
      <c r="N1102" s="5">
        <v>45607</v>
      </c>
    </row>
    <row r="1103" spans="1:14" x14ac:dyDescent="0.3">
      <c r="A1103" s="1" t="str">
        <f>"2_1931/2129-11/2024/Ч"</f>
        <v>2_1931/2129-11/2024/Ч</v>
      </c>
      <c r="B1103" s="6">
        <v>45607</v>
      </c>
      <c r="C1103" s="1" t="str">
        <f>"00041"</f>
        <v>00041</v>
      </c>
      <c r="D1103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03" s="1" t="s">
        <v>20</v>
      </c>
      <c r="F1103" s="1" t="str">
        <f t="shared" si="145"/>
        <v>Центр надання адміністративних послуг Рогатинської міської ради</v>
      </c>
      <c r="G1103" s="1" t="str">
        <f t="shared" si="143"/>
        <v>Фізична особа</v>
      </c>
      <c r="H1103" s="1" t="s">
        <v>20</v>
      </c>
      <c r="I1103" s="1" t="s">
        <v>20</v>
      </c>
      <c r="J1103" s="1" t="str">
        <f t="shared" si="144"/>
        <v>Закрито</v>
      </c>
      <c r="K1103" s="5">
        <v>45607</v>
      </c>
      <c r="L1103" s="1" t="s">
        <v>20</v>
      </c>
      <c r="M1103" s="1" t="s">
        <v>22</v>
      </c>
      <c r="N1103" s="5">
        <v>45607</v>
      </c>
    </row>
    <row r="1104" spans="1:14" x14ac:dyDescent="0.3">
      <c r="A1104" s="1" t="str">
        <f>"8_534-11/2024/П"</f>
        <v>8_534-11/2024/П</v>
      </c>
      <c r="B1104" s="6">
        <v>45607</v>
      </c>
      <c r="C1104" s="1" t="str">
        <f>"00103"</f>
        <v>00103</v>
      </c>
      <c r="D1104" s="2" t="s">
        <v>1</v>
      </c>
      <c r="E1104" s="1" t="str">
        <f>"03193413"</f>
        <v>03193413</v>
      </c>
      <c r="F110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04" s="1" t="str">
        <f t="shared" si="143"/>
        <v>Фізична особа</v>
      </c>
      <c r="H1104" s="1" t="s">
        <v>20</v>
      </c>
      <c r="I1104" s="1" t="s">
        <v>20</v>
      </c>
      <c r="J1104" s="1" t="str">
        <f t="shared" si="144"/>
        <v>Закрито</v>
      </c>
      <c r="K1104" s="5">
        <v>45615</v>
      </c>
      <c r="L1104" s="1" t="s">
        <v>20</v>
      </c>
      <c r="M1104" s="1" t="s">
        <v>22</v>
      </c>
      <c r="N1104" s="5">
        <v>45615</v>
      </c>
    </row>
    <row r="1105" spans="1:14" x14ac:dyDescent="0.3">
      <c r="A1105" s="1" t="str">
        <f>"2_1932/2129-11/2024/Ч"</f>
        <v>2_1932/2129-11/2024/Ч</v>
      </c>
      <c r="B1105" s="6">
        <v>45607</v>
      </c>
      <c r="C1105" s="1" t="str">
        <f>"00041"</f>
        <v>00041</v>
      </c>
      <c r="D110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05" s="1" t="s">
        <v>20</v>
      </c>
      <c r="F110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05" s="1" t="str">
        <f t="shared" si="143"/>
        <v>Фізична особа</v>
      </c>
      <c r="H1105" s="1" t="s">
        <v>20</v>
      </c>
      <c r="I1105" s="1" t="s">
        <v>20</v>
      </c>
      <c r="J1105" s="1" t="str">
        <f t="shared" si="144"/>
        <v>Закрито</v>
      </c>
      <c r="K1105" s="5">
        <v>45607</v>
      </c>
      <c r="L1105" s="1" t="s">
        <v>20</v>
      </c>
      <c r="M1105" s="1" t="s">
        <v>22</v>
      </c>
      <c r="N1105" s="5">
        <v>45607</v>
      </c>
    </row>
    <row r="1106" spans="1:14" x14ac:dyDescent="0.3">
      <c r="A1106" s="1" t="str">
        <f>"2_1933/2129-11/2024/Г"</f>
        <v>2_1933/2129-11/2024/Г</v>
      </c>
      <c r="B1106" s="6">
        <v>45607</v>
      </c>
      <c r="C1106" s="1" t="str">
        <f>"00042"</f>
        <v>00042</v>
      </c>
      <c r="D1106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106" s="1" t="s">
        <v>20</v>
      </c>
      <c r="F110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06" s="1" t="s">
        <v>21</v>
      </c>
      <c r="H1106" s="1" t="str">
        <f>"Гриник Тетяна Василівна,селянсько-фермерське господарство ""Надія"""</f>
        <v>Гриник Тетяна Василівна,селянсько-фермерське господарство "Надія"</v>
      </c>
      <c r="I1106" s="1" t="s">
        <v>20</v>
      </c>
      <c r="J1106" s="1" t="str">
        <f t="shared" si="144"/>
        <v>Закрито</v>
      </c>
      <c r="K1106" s="5">
        <v>45607</v>
      </c>
      <c r="L1106" s="1" t="s">
        <v>20</v>
      </c>
      <c r="M1106" s="1" t="s">
        <v>22</v>
      </c>
      <c r="N1106" s="5">
        <v>45607</v>
      </c>
    </row>
    <row r="1107" spans="1:14" x14ac:dyDescent="0.3">
      <c r="A1107" s="1" t="str">
        <f>"2_1934/04054323-11/2024/Г"</f>
        <v>2_1934/04054323-11/2024/Г</v>
      </c>
      <c r="B1107" s="6">
        <v>45607</v>
      </c>
      <c r="C1107" s="1" t="str">
        <f>"00153"</f>
        <v>00153</v>
      </c>
      <c r="D1107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1107" s="1" t="str">
        <f>"04054323"</f>
        <v>04054323</v>
      </c>
      <c r="F1107" s="1" t="str">
        <f>"Рогатинська міська рада"</f>
        <v>Рогатинська міська рада</v>
      </c>
      <c r="G1107" s="1" t="str">
        <f>"Фізична особа"</f>
        <v>Фізична особа</v>
      </c>
      <c r="H1107" s="1" t="s">
        <v>20</v>
      </c>
      <c r="I1107" s="1" t="s">
        <v>20</v>
      </c>
      <c r="J1107" s="1" t="str">
        <f t="shared" si="144"/>
        <v>Закрито</v>
      </c>
      <c r="K1107" s="5">
        <v>45628</v>
      </c>
      <c r="L1107" s="1" t="s">
        <v>20</v>
      </c>
      <c r="M1107" s="1" t="s">
        <v>22</v>
      </c>
      <c r="N1107" s="5">
        <v>45628</v>
      </c>
    </row>
    <row r="1108" spans="1:14" x14ac:dyDescent="0.3">
      <c r="A1108" s="1" t="str">
        <f>"15_331-11/2024/А"</f>
        <v>15_331-11/2024/А</v>
      </c>
      <c r="B1108" s="6">
        <v>45607</v>
      </c>
      <c r="C1108" s="1" t="str">
        <f>"00038"</f>
        <v>00038</v>
      </c>
      <c r="D110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08" s="1" t="s">
        <v>20</v>
      </c>
      <c r="F110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08" s="1" t="str">
        <f>"Фізична особа"</f>
        <v>Фізична особа</v>
      </c>
      <c r="H1108" s="1" t="s">
        <v>20</v>
      </c>
      <c r="I1108" s="1" t="s">
        <v>20</v>
      </c>
      <c r="J1108" s="1" t="str">
        <f t="shared" si="144"/>
        <v>Закрито</v>
      </c>
      <c r="K1108" s="5">
        <v>45607</v>
      </c>
      <c r="L1108" s="1" t="s">
        <v>20</v>
      </c>
      <c r="M1108" s="1" t="s">
        <v>22</v>
      </c>
      <c r="N1108" s="5">
        <v>45607</v>
      </c>
    </row>
    <row r="1109" spans="1:14" x14ac:dyDescent="0.3">
      <c r="A1109" s="1" t="str">
        <f>"2_1935/2129-11/2024/К"</f>
        <v>2_1935/2129-11/2024/К</v>
      </c>
      <c r="B1109" s="6">
        <v>45607</v>
      </c>
      <c r="C1109" s="1" t="str">
        <f>"00042"</f>
        <v>00042</v>
      </c>
      <c r="D1109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109" s="1" t="s">
        <v>20</v>
      </c>
      <c r="F110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09" s="1" t="s">
        <v>21</v>
      </c>
      <c r="H1109" s="1" t="str">
        <f>"Копцюх Богдан Васильович,селянсько-фермерське господарство ""Надія"""</f>
        <v>Копцюх Богдан Васильович,селянсько-фермерське господарство "Надія"</v>
      </c>
      <c r="I1109" s="1" t="s">
        <v>20</v>
      </c>
      <c r="J1109" s="1" t="str">
        <f t="shared" si="144"/>
        <v>Закрито</v>
      </c>
      <c r="K1109" s="5">
        <v>45607</v>
      </c>
      <c r="L1109" s="1" t="s">
        <v>20</v>
      </c>
      <c r="M1109" s="1" t="s">
        <v>22</v>
      </c>
      <c r="N1109" s="5">
        <v>45607</v>
      </c>
    </row>
    <row r="1110" spans="1:14" x14ac:dyDescent="0.3">
      <c r="A1110" s="1" t="str">
        <f>"2_1936/2129-11/2024/Ч"</f>
        <v>2_1936/2129-11/2024/Ч</v>
      </c>
      <c r="B1110" s="6">
        <v>45607</v>
      </c>
      <c r="C1110" s="1" t="str">
        <f>"00041"</f>
        <v>00041</v>
      </c>
      <c r="D111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10" s="1" t="s">
        <v>20</v>
      </c>
      <c r="F111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10" s="1" t="str">
        <f>"Фізична особа"</f>
        <v>Фізична особа</v>
      </c>
      <c r="H1110" s="1" t="s">
        <v>20</v>
      </c>
      <c r="I1110" s="1" t="s">
        <v>20</v>
      </c>
      <c r="J1110" s="1" t="str">
        <f t="shared" si="144"/>
        <v>Закрито</v>
      </c>
      <c r="K1110" s="5">
        <v>45607</v>
      </c>
      <c r="L1110" s="1" t="s">
        <v>20</v>
      </c>
      <c r="M1110" s="1" t="s">
        <v>22</v>
      </c>
      <c r="N1110" s="5">
        <v>45607</v>
      </c>
    </row>
    <row r="1111" spans="1:14" x14ac:dyDescent="0.3">
      <c r="A1111" s="1" t="str">
        <f>"2_1937/2129-11/2024/К"</f>
        <v>2_1937/2129-11/2024/К</v>
      </c>
      <c r="B1111" s="6">
        <v>45607</v>
      </c>
      <c r="C1111" s="1" t="str">
        <f>"00041"</f>
        <v>00041</v>
      </c>
      <c r="D111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11" s="1" t="s">
        <v>20</v>
      </c>
      <c r="F111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11" s="1" t="str">
        <f>"Фізична особа"</f>
        <v>Фізична особа</v>
      </c>
      <c r="H1111" s="1" t="s">
        <v>20</v>
      </c>
      <c r="I1111" s="1" t="s">
        <v>20</v>
      </c>
      <c r="J1111" s="1" t="str">
        <f t="shared" si="144"/>
        <v>Закрито</v>
      </c>
      <c r="K1111" s="5">
        <v>45607</v>
      </c>
      <c r="L1111" s="1" t="s">
        <v>20</v>
      </c>
      <c r="M1111" s="1" t="s">
        <v>22</v>
      </c>
      <c r="N1111" s="5">
        <v>45607</v>
      </c>
    </row>
    <row r="1112" spans="1:14" x14ac:dyDescent="0.3">
      <c r="A1112" s="1" t="str">
        <f>"9_1615/04054323-11/2024/К"</f>
        <v>9_1615/04054323-11/2024/К</v>
      </c>
      <c r="B1112" s="6">
        <v>45607</v>
      </c>
      <c r="C1112" s="1" t="str">
        <f>"01-1"</f>
        <v>01-1</v>
      </c>
      <c r="D1112" s="2" t="s">
        <v>0</v>
      </c>
      <c r="E1112" s="1" t="str">
        <f>"04054323"</f>
        <v>04054323</v>
      </c>
      <c r="F1112" s="1" t="str">
        <f>"Рогатинська міська рада"</f>
        <v>Рогатинська міська рада</v>
      </c>
      <c r="G1112" s="1" t="s">
        <v>21</v>
      </c>
      <c r="H1112" s="1" t="s">
        <v>20</v>
      </c>
      <c r="I1112" s="1" t="s">
        <v>20</v>
      </c>
      <c r="J1112" s="1" t="str">
        <f t="shared" si="144"/>
        <v>Закрито</v>
      </c>
      <c r="K1112" s="5">
        <v>45637</v>
      </c>
      <c r="L1112" s="1" t="s">
        <v>20</v>
      </c>
      <c r="M1112" s="1" t="s">
        <v>22</v>
      </c>
      <c r="N1112" s="5">
        <v>45637</v>
      </c>
    </row>
    <row r="1113" spans="1:14" x14ac:dyDescent="0.3">
      <c r="A1113" s="1" t="str">
        <f>"16_662-11/2024/К"</f>
        <v>16_662-11/2024/К</v>
      </c>
      <c r="B1113" s="6">
        <v>45607</v>
      </c>
      <c r="C1113" s="1" t="str">
        <f>"00038"</f>
        <v>00038</v>
      </c>
      <c r="D111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13" s="1" t="s">
        <v>20</v>
      </c>
      <c r="F11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13" s="1" t="str">
        <f t="shared" ref="G1113:G1145" si="146">"Фізична особа"</f>
        <v>Фізична особа</v>
      </c>
      <c r="H1113" s="1" t="s">
        <v>20</v>
      </c>
      <c r="I1113" s="1" t="s">
        <v>20</v>
      </c>
      <c r="J1113" s="1" t="str">
        <f t="shared" si="144"/>
        <v>Закрито</v>
      </c>
      <c r="K1113" s="5">
        <v>45607</v>
      </c>
      <c r="L1113" s="1" t="s">
        <v>20</v>
      </c>
      <c r="M1113" s="1" t="s">
        <v>22</v>
      </c>
      <c r="N1113" s="5">
        <v>45607</v>
      </c>
    </row>
    <row r="1114" spans="1:14" x14ac:dyDescent="0.3">
      <c r="A1114" s="1" t="str">
        <f>"9_1616/04054323-11/2024/К"</f>
        <v>9_1616/04054323-11/2024/К</v>
      </c>
      <c r="B1114" s="6">
        <v>45607</v>
      </c>
      <c r="C1114" s="1" t="str">
        <f>"01"</f>
        <v>01</v>
      </c>
      <c r="D1114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114" s="1" t="str">
        <f>"04054323"</f>
        <v>04054323</v>
      </c>
      <c r="F1114" s="1" t="str">
        <f>"Рогатинська міська рада"</f>
        <v>Рогатинська міська рада</v>
      </c>
      <c r="G1114" s="1" t="str">
        <f t="shared" si="146"/>
        <v>Фізична особа</v>
      </c>
      <c r="H1114" s="1" t="s">
        <v>20</v>
      </c>
      <c r="I1114" s="1" t="s">
        <v>20</v>
      </c>
      <c r="J1114" s="1" t="str">
        <f t="shared" si="144"/>
        <v>Закрито</v>
      </c>
      <c r="K1114" s="5">
        <v>45637</v>
      </c>
      <c r="L1114" s="1" t="s">
        <v>20</v>
      </c>
      <c r="M1114" s="1" t="s">
        <v>22</v>
      </c>
      <c r="N1114" s="5">
        <v>45637</v>
      </c>
    </row>
    <row r="1115" spans="1:14" x14ac:dyDescent="0.3">
      <c r="A1115" s="1" t="str">
        <f>"24_333-11/2024/В"</f>
        <v>24_333-11/2024/В</v>
      </c>
      <c r="B1115" s="6">
        <v>45607</v>
      </c>
      <c r="C1115" s="1" t="str">
        <f>"00038"</f>
        <v>00038</v>
      </c>
      <c r="D111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15" s="1" t="s">
        <v>20</v>
      </c>
      <c r="F111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15" s="1" t="str">
        <f t="shared" si="146"/>
        <v>Фізична особа</v>
      </c>
      <c r="H1115" s="1" t="s">
        <v>20</v>
      </c>
      <c r="I1115" s="1" t="s">
        <v>20</v>
      </c>
      <c r="J1115" s="1" t="str">
        <f t="shared" si="144"/>
        <v>Закрито</v>
      </c>
      <c r="K1115" s="5">
        <v>45607</v>
      </c>
      <c r="L1115" s="1" t="s">
        <v>20</v>
      </c>
      <c r="M1115" s="1" t="s">
        <v>22</v>
      </c>
      <c r="N1115" s="5">
        <v>45607</v>
      </c>
    </row>
    <row r="1116" spans="1:14" x14ac:dyDescent="0.3">
      <c r="A1116" s="1" t="str">
        <f>"3_835-11/2024/Р"</f>
        <v>3_835-11/2024/Р</v>
      </c>
      <c r="B1116" s="6">
        <v>45607</v>
      </c>
      <c r="C1116" s="1" t="str">
        <f>"33"</f>
        <v>33</v>
      </c>
      <c r="D1116" s="2" t="str">
        <f>"33 Довідки різного характеру"</f>
        <v>33 Довідки різного характеру</v>
      </c>
      <c r="E1116" s="1" t="s">
        <v>20</v>
      </c>
      <c r="F111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16" s="1" t="str">
        <f t="shared" si="146"/>
        <v>Фізична особа</v>
      </c>
      <c r="H1116" s="1" t="s">
        <v>20</v>
      </c>
      <c r="I1116" s="1" t="s">
        <v>20</v>
      </c>
      <c r="J1116" s="1" t="str">
        <f t="shared" si="144"/>
        <v>Закрито</v>
      </c>
      <c r="K1116" s="5">
        <v>45607</v>
      </c>
      <c r="L1116" s="1" t="s">
        <v>20</v>
      </c>
      <c r="M1116" s="1" t="s">
        <v>22</v>
      </c>
      <c r="N1116" s="5">
        <v>45607</v>
      </c>
    </row>
    <row r="1117" spans="1:14" x14ac:dyDescent="0.3">
      <c r="A1117" s="1" t="str">
        <f>"9_1617/04054323-11/2024/П"</f>
        <v>9_1617/04054323-11/2024/П</v>
      </c>
      <c r="B1117" s="6">
        <v>45607</v>
      </c>
      <c r="C1117" s="1" t="str">
        <f>"01-1"</f>
        <v>01-1</v>
      </c>
      <c r="D1117" s="2" t="s">
        <v>0</v>
      </c>
      <c r="E1117" s="1" t="str">
        <f>"04054323"</f>
        <v>04054323</v>
      </c>
      <c r="F1117" s="1" t="str">
        <f>"Рогатинська міська рада"</f>
        <v>Рогатинська міська рада</v>
      </c>
      <c r="G1117" s="1" t="str">
        <f t="shared" si="146"/>
        <v>Фізична особа</v>
      </c>
      <c r="H1117" s="1" t="s">
        <v>20</v>
      </c>
      <c r="I1117" s="1" t="s">
        <v>20</v>
      </c>
      <c r="J1117" s="1" t="str">
        <f t="shared" si="144"/>
        <v>Закрито</v>
      </c>
      <c r="K1117" s="5">
        <v>45637</v>
      </c>
      <c r="L1117" s="1" t="s">
        <v>20</v>
      </c>
      <c r="M1117" s="1" t="s">
        <v>22</v>
      </c>
      <c r="N1117" s="5">
        <v>45637</v>
      </c>
    </row>
    <row r="1118" spans="1:14" x14ac:dyDescent="0.3">
      <c r="A1118" s="1" t="str">
        <f>"9_1618/04054323-11/2024/Н"</f>
        <v>9_1618/04054323-11/2024/Н</v>
      </c>
      <c r="B1118" s="6">
        <v>45607</v>
      </c>
      <c r="C1118" s="1" t="str">
        <f>"00199"</f>
        <v>00199</v>
      </c>
      <c r="D1118" s="2" t="str">
        <f>"00199 Видача рішення про надання дозволу на розроблення проекту землеустрою щодо відведення земельної ділянки"</f>
        <v>00199 Видача рішення про надання дозволу на розроблення проекту землеустрою щодо відведення земельної ділянки</v>
      </c>
      <c r="E1118" s="1" t="str">
        <f>"04054323"</f>
        <v>04054323</v>
      </c>
      <c r="F1118" s="1" t="str">
        <f>"Рогатинська міська рада"</f>
        <v>Рогатинська міська рада</v>
      </c>
      <c r="G1118" s="1" t="str">
        <f t="shared" si="146"/>
        <v>Фізична особа</v>
      </c>
      <c r="H1118" s="1" t="s">
        <v>20</v>
      </c>
      <c r="I1118" s="1" t="s">
        <v>20</v>
      </c>
      <c r="J1118" s="1" t="str">
        <f t="shared" si="144"/>
        <v>Закрито</v>
      </c>
      <c r="K1118" s="5">
        <v>45618</v>
      </c>
      <c r="L1118" s="1" t="s">
        <v>20</v>
      </c>
      <c r="M1118" s="1" t="s">
        <v>22</v>
      </c>
      <c r="N1118" s="5">
        <v>45618</v>
      </c>
    </row>
    <row r="1119" spans="1:14" x14ac:dyDescent="0.3">
      <c r="A1119" s="1" t="str">
        <f>"8_535-11/2024/Х"</f>
        <v>8_535-11/2024/Х</v>
      </c>
      <c r="B1119" s="6">
        <v>45607</v>
      </c>
      <c r="C1119" s="1" t="str">
        <f>"33"</f>
        <v>33</v>
      </c>
      <c r="D1119" s="2" t="str">
        <f>"33 Довідки різного характеру"</f>
        <v>33 Довідки різного характеру</v>
      </c>
      <c r="E1119" s="1" t="s">
        <v>20</v>
      </c>
      <c r="F1119" s="1" t="str">
        <f t="shared" ref="F1119:F1129" si="147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19" s="1" t="str">
        <f t="shared" si="146"/>
        <v>Фізична особа</v>
      </c>
      <c r="H1119" s="1" t="s">
        <v>20</v>
      </c>
      <c r="I1119" s="1" t="s">
        <v>20</v>
      </c>
      <c r="J1119" s="1" t="str">
        <f t="shared" si="144"/>
        <v>Закрито</v>
      </c>
      <c r="K1119" s="5">
        <v>45607</v>
      </c>
      <c r="L1119" s="1" t="s">
        <v>20</v>
      </c>
      <c r="M1119" s="1" t="s">
        <v>22</v>
      </c>
      <c r="N1119" s="5">
        <v>45607</v>
      </c>
    </row>
    <row r="1120" spans="1:14" x14ac:dyDescent="0.3">
      <c r="A1120" s="1" t="str">
        <f>"8_536-11/2024/Ф"</f>
        <v>8_536-11/2024/Ф</v>
      </c>
      <c r="B1120" s="6">
        <v>45607</v>
      </c>
      <c r="C1120" s="1" t="str">
        <f>"33"</f>
        <v>33</v>
      </c>
      <c r="D1120" s="2" t="str">
        <f>"33 Довідки різного характеру"</f>
        <v>33 Довідки різного характеру</v>
      </c>
      <c r="E1120" s="1" t="s">
        <v>20</v>
      </c>
      <c r="F1120" s="1" t="str">
        <f t="shared" si="147"/>
        <v>Центр надання адміністративних послуг Рогатинської міської ради</v>
      </c>
      <c r="G1120" s="1" t="str">
        <f t="shared" si="146"/>
        <v>Фізична особа</v>
      </c>
      <c r="H1120" s="1" t="s">
        <v>20</v>
      </c>
      <c r="I1120" s="1" t="s">
        <v>20</v>
      </c>
      <c r="J1120" s="1" t="str">
        <f t="shared" si="144"/>
        <v>Закрито</v>
      </c>
      <c r="K1120" s="5">
        <v>45607</v>
      </c>
      <c r="L1120" s="1" t="s">
        <v>20</v>
      </c>
      <c r="M1120" s="1" t="s">
        <v>22</v>
      </c>
      <c r="N1120" s="5">
        <v>45607</v>
      </c>
    </row>
    <row r="1121" spans="1:14" x14ac:dyDescent="0.3">
      <c r="A1121" s="1" t="str">
        <f>"8_537-11/2024/Ф"</f>
        <v>8_537-11/2024/Ф</v>
      </c>
      <c r="B1121" s="6">
        <v>45607</v>
      </c>
      <c r="C1121" s="1" t="str">
        <f>"33"</f>
        <v>33</v>
      </c>
      <c r="D1121" s="2" t="str">
        <f>"33 Довідки різного характеру"</f>
        <v>33 Довідки різного характеру</v>
      </c>
      <c r="E1121" s="1" t="s">
        <v>20</v>
      </c>
      <c r="F1121" s="1" t="str">
        <f t="shared" si="147"/>
        <v>Центр надання адміністративних послуг Рогатинської міської ради</v>
      </c>
      <c r="G1121" s="1" t="str">
        <f t="shared" si="146"/>
        <v>Фізична особа</v>
      </c>
      <c r="H1121" s="1" t="s">
        <v>20</v>
      </c>
      <c r="I1121" s="1" t="s">
        <v>20</v>
      </c>
      <c r="J1121" s="1" t="str">
        <f t="shared" si="144"/>
        <v>Закрито</v>
      </c>
      <c r="K1121" s="5">
        <v>45607</v>
      </c>
      <c r="L1121" s="1" t="s">
        <v>20</v>
      </c>
      <c r="M1121" s="1" t="s">
        <v>22</v>
      </c>
      <c r="N1121" s="5">
        <v>45607</v>
      </c>
    </row>
    <row r="1122" spans="1:14" x14ac:dyDescent="0.3">
      <c r="A1122" s="1" t="str">
        <f>"30_610-11/2024/О"</f>
        <v>30_610-11/2024/О</v>
      </c>
      <c r="B1122" s="6">
        <v>45607</v>
      </c>
      <c r="C1122" s="1" t="str">
        <f t="shared" ref="C1122:C1128" si="148">"00038"</f>
        <v>00038</v>
      </c>
      <c r="D1122" s="2" t="str">
        <f t="shared" ref="D1122:D1128" si="149"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22" s="1" t="s">
        <v>20</v>
      </c>
      <c r="F1122" s="1" t="str">
        <f t="shared" si="147"/>
        <v>Центр надання адміністративних послуг Рогатинської міської ради</v>
      </c>
      <c r="G1122" s="1" t="str">
        <f t="shared" si="146"/>
        <v>Фізична особа</v>
      </c>
      <c r="H1122" s="1" t="s">
        <v>20</v>
      </c>
      <c r="I1122" s="1" t="s">
        <v>20</v>
      </c>
      <c r="J1122" s="1" t="str">
        <f t="shared" si="144"/>
        <v>Закрито</v>
      </c>
      <c r="K1122" s="5">
        <v>45607</v>
      </c>
      <c r="L1122" s="1" t="s">
        <v>20</v>
      </c>
      <c r="M1122" s="1" t="s">
        <v>22</v>
      </c>
      <c r="N1122" s="5">
        <v>45607</v>
      </c>
    </row>
    <row r="1123" spans="1:14" x14ac:dyDescent="0.3">
      <c r="A1123" s="1" t="str">
        <f>"30_611-11/2024/О"</f>
        <v>30_611-11/2024/О</v>
      </c>
      <c r="B1123" s="6">
        <v>45607</v>
      </c>
      <c r="C1123" s="1" t="str">
        <f t="shared" si="148"/>
        <v>00038</v>
      </c>
      <c r="D1123" s="2" t="str">
        <f t="shared" si="149"/>
        <v>Видача довідки про реєстрацію місця проживання або місця перебування особи</v>
      </c>
      <c r="E1123" s="1" t="s">
        <v>20</v>
      </c>
      <c r="F1123" s="1" t="str">
        <f t="shared" si="147"/>
        <v>Центр надання адміністративних послуг Рогатинської міської ради</v>
      </c>
      <c r="G1123" s="1" t="str">
        <f t="shared" si="146"/>
        <v>Фізична особа</v>
      </c>
      <c r="H1123" s="1" t="s">
        <v>20</v>
      </c>
      <c r="I1123" s="1" t="s">
        <v>20</v>
      </c>
      <c r="J1123" s="1" t="str">
        <f t="shared" si="144"/>
        <v>Закрито</v>
      </c>
      <c r="K1123" s="5">
        <v>45607</v>
      </c>
      <c r="L1123" s="1" t="s">
        <v>20</v>
      </c>
      <c r="M1123" s="1" t="s">
        <v>22</v>
      </c>
      <c r="N1123" s="5">
        <v>45607</v>
      </c>
    </row>
    <row r="1124" spans="1:14" x14ac:dyDescent="0.3">
      <c r="A1124" s="1" t="str">
        <f>"16_663-11/2024/О"</f>
        <v>16_663-11/2024/О</v>
      </c>
      <c r="B1124" s="6">
        <v>45607</v>
      </c>
      <c r="C1124" s="1" t="str">
        <f t="shared" si="148"/>
        <v>00038</v>
      </c>
      <c r="D1124" s="2" t="str">
        <f t="shared" si="149"/>
        <v>Видача довідки про реєстрацію місця проживання або місця перебування особи</v>
      </c>
      <c r="E1124" s="1" t="s">
        <v>20</v>
      </c>
      <c r="F1124" s="1" t="str">
        <f t="shared" si="147"/>
        <v>Центр надання адміністративних послуг Рогатинської міської ради</v>
      </c>
      <c r="G1124" s="1" t="str">
        <f t="shared" si="146"/>
        <v>Фізична особа</v>
      </c>
      <c r="H1124" s="1" t="s">
        <v>20</v>
      </c>
      <c r="I1124" s="1" t="s">
        <v>20</v>
      </c>
      <c r="J1124" s="1" t="str">
        <f t="shared" si="144"/>
        <v>Закрито</v>
      </c>
      <c r="K1124" s="5">
        <v>45607</v>
      </c>
      <c r="L1124" s="1" t="s">
        <v>20</v>
      </c>
      <c r="M1124" s="1" t="s">
        <v>22</v>
      </c>
      <c r="N1124" s="5">
        <v>45607</v>
      </c>
    </row>
    <row r="1125" spans="1:14" x14ac:dyDescent="0.3">
      <c r="A1125" s="1" t="str">
        <f>"30_612-11/2024/О"</f>
        <v>30_612-11/2024/О</v>
      </c>
      <c r="B1125" s="6">
        <v>45607</v>
      </c>
      <c r="C1125" s="1" t="str">
        <f t="shared" si="148"/>
        <v>00038</v>
      </c>
      <c r="D1125" s="2" t="str">
        <f t="shared" si="149"/>
        <v>Видача довідки про реєстрацію місця проживання або місця перебування особи</v>
      </c>
      <c r="E1125" s="1" t="s">
        <v>20</v>
      </c>
      <c r="F1125" s="1" t="str">
        <f t="shared" si="147"/>
        <v>Центр надання адміністративних послуг Рогатинської міської ради</v>
      </c>
      <c r="G1125" s="1" t="str">
        <f t="shared" si="146"/>
        <v>Фізична особа</v>
      </c>
      <c r="H1125" s="1" t="s">
        <v>20</v>
      </c>
      <c r="I1125" s="1" t="s">
        <v>20</v>
      </c>
      <c r="J1125" s="1" t="str">
        <f t="shared" si="144"/>
        <v>Закрито</v>
      </c>
      <c r="K1125" s="5">
        <v>45607</v>
      </c>
      <c r="L1125" s="1" t="s">
        <v>20</v>
      </c>
      <c r="M1125" s="1" t="s">
        <v>22</v>
      </c>
      <c r="N1125" s="5">
        <v>45607</v>
      </c>
    </row>
    <row r="1126" spans="1:14" x14ac:dyDescent="0.3">
      <c r="A1126" s="1" t="str">
        <f>"30_613-11/2024/О"</f>
        <v>30_613-11/2024/О</v>
      </c>
      <c r="B1126" s="6">
        <v>45607</v>
      </c>
      <c r="C1126" s="1" t="str">
        <f t="shared" si="148"/>
        <v>00038</v>
      </c>
      <c r="D1126" s="2" t="str">
        <f t="shared" si="149"/>
        <v>Видача довідки про реєстрацію місця проживання або місця перебування особи</v>
      </c>
      <c r="E1126" s="1" t="s">
        <v>20</v>
      </c>
      <c r="F1126" s="1" t="str">
        <f t="shared" si="147"/>
        <v>Центр надання адміністративних послуг Рогатинської міської ради</v>
      </c>
      <c r="G1126" s="1" t="str">
        <f t="shared" si="146"/>
        <v>Фізична особа</v>
      </c>
      <c r="H1126" s="1" t="s">
        <v>20</v>
      </c>
      <c r="I1126" s="1" t="s">
        <v>20</v>
      </c>
      <c r="J1126" s="1" t="str">
        <f t="shared" si="144"/>
        <v>Закрито</v>
      </c>
      <c r="K1126" s="5">
        <v>45607</v>
      </c>
      <c r="L1126" s="1" t="s">
        <v>20</v>
      </c>
      <c r="M1126" s="1" t="s">
        <v>22</v>
      </c>
      <c r="N1126" s="5">
        <v>45607</v>
      </c>
    </row>
    <row r="1127" spans="1:14" x14ac:dyDescent="0.3">
      <c r="A1127" s="1" t="str">
        <f>"1_5735/2129-11/2024/Ч"</f>
        <v>1_5735/2129-11/2024/Ч</v>
      </c>
      <c r="B1127" s="6">
        <v>45607</v>
      </c>
      <c r="C1127" s="1" t="str">
        <f t="shared" si="148"/>
        <v>00038</v>
      </c>
      <c r="D1127" s="2" t="str">
        <f t="shared" si="149"/>
        <v>Видача довідки про реєстрацію місця проживання або місця перебування особи</v>
      </c>
      <c r="E1127" s="1" t="s">
        <v>20</v>
      </c>
      <c r="F1127" s="1" t="str">
        <f t="shared" si="147"/>
        <v>Центр надання адміністративних послуг Рогатинської міської ради</v>
      </c>
      <c r="G1127" s="1" t="str">
        <f t="shared" si="146"/>
        <v>Фізична особа</v>
      </c>
      <c r="H1127" s="1" t="s">
        <v>20</v>
      </c>
      <c r="I1127" s="1" t="s">
        <v>20</v>
      </c>
      <c r="J1127" s="1" t="str">
        <f t="shared" si="144"/>
        <v>Закрито</v>
      </c>
      <c r="K1127" s="6">
        <v>45607</v>
      </c>
      <c r="L1127" s="1" t="s">
        <v>20</v>
      </c>
      <c r="M1127" s="1" t="s">
        <v>22</v>
      </c>
      <c r="N1127" s="5">
        <v>45607</v>
      </c>
    </row>
    <row r="1128" spans="1:14" x14ac:dyDescent="0.3">
      <c r="A1128" s="1" t="str">
        <f>"30_614-11/2024/О"</f>
        <v>30_614-11/2024/О</v>
      </c>
      <c r="B1128" s="6">
        <v>45607</v>
      </c>
      <c r="C1128" s="1" t="str">
        <f t="shared" si="148"/>
        <v>00038</v>
      </c>
      <c r="D1128" s="2" t="str">
        <f t="shared" si="149"/>
        <v>Видача довідки про реєстрацію місця проживання або місця перебування особи</v>
      </c>
      <c r="E1128" s="1" t="s">
        <v>20</v>
      </c>
      <c r="F1128" s="1" t="str">
        <f t="shared" si="147"/>
        <v>Центр надання адміністративних послуг Рогатинської міської ради</v>
      </c>
      <c r="G1128" s="1" t="str">
        <f t="shared" si="146"/>
        <v>Фізична особа</v>
      </c>
      <c r="H1128" s="1" t="s">
        <v>20</v>
      </c>
      <c r="I1128" s="1" t="s">
        <v>20</v>
      </c>
      <c r="J1128" s="1" t="str">
        <f t="shared" si="144"/>
        <v>Закрито</v>
      </c>
      <c r="K1128" s="5">
        <v>45607</v>
      </c>
      <c r="L1128" s="1" t="s">
        <v>20</v>
      </c>
      <c r="M1128" s="1" t="s">
        <v>22</v>
      </c>
      <c r="N1128" s="5">
        <v>45607</v>
      </c>
    </row>
    <row r="1129" spans="1:14" x14ac:dyDescent="0.3">
      <c r="A1129" s="1" t="str">
        <f>"6_372-11/2024/Б"</f>
        <v>6_372-11/2024/Б</v>
      </c>
      <c r="B1129" s="6">
        <v>45607</v>
      </c>
      <c r="C1129" s="1" t="str">
        <f>"33"</f>
        <v>33</v>
      </c>
      <c r="D1129" s="2" t="str">
        <f>"33 Довідки різного характеру"</f>
        <v>33 Довідки різного характеру</v>
      </c>
      <c r="E1129" s="1" t="s">
        <v>20</v>
      </c>
      <c r="F1129" s="1" t="str">
        <f t="shared" si="147"/>
        <v>Центр надання адміністративних послуг Рогатинської міської ради</v>
      </c>
      <c r="G1129" s="1" t="str">
        <f t="shared" si="146"/>
        <v>Фізична особа</v>
      </c>
      <c r="H1129" s="1" t="s">
        <v>20</v>
      </c>
      <c r="I1129" s="1" t="s">
        <v>20</v>
      </c>
      <c r="J1129" s="1" t="str">
        <f t="shared" si="144"/>
        <v>Закрито</v>
      </c>
      <c r="K1129" s="5">
        <v>45607</v>
      </c>
      <c r="L1129" s="1" t="s">
        <v>20</v>
      </c>
      <c r="M1129" s="1" t="s">
        <v>22</v>
      </c>
      <c r="N1129" s="5">
        <v>45607</v>
      </c>
    </row>
    <row r="1130" spans="1:14" x14ac:dyDescent="0.3">
      <c r="A1130" s="1" t="str">
        <f>"30_615-11/2024/О"</f>
        <v>30_615-11/2024/О</v>
      </c>
      <c r="B1130" s="6">
        <v>45607</v>
      </c>
      <c r="C1130" s="1" t="str">
        <f>"01974"</f>
        <v>01974</v>
      </c>
      <c r="D1130" s="2" t="str">
        <f>"Призначення пільги на оплату житла, комунальних послуг"</f>
        <v>Призначення пільги на оплату житла, комунальних послуг</v>
      </c>
      <c r="E1130" s="1" t="str">
        <f>"03193413"</f>
        <v>03193413</v>
      </c>
      <c r="F113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30" s="1" t="str">
        <f t="shared" si="146"/>
        <v>Фізична особа</v>
      </c>
      <c r="H1130" s="1" t="s">
        <v>20</v>
      </c>
      <c r="I1130" s="1" t="s">
        <v>20</v>
      </c>
      <c r="J1130" s="1" t="str">
        <f t="shared" si="144"/>
        <v>Закрито</v>
      </c>
      <c r="K1130" s="5">
        <v>45653</v>
      </c>
      <c r="L1130" s="1" t="s">
        <v>20</v>
      </c>
      <c r="M1130" s="1" t="s">
        <v>22</v>
      </c>
      <c r="N1130" s="5">
        <v>45653</v>
      </c>
    </row>
    <row r="1131" spans="1:14" x14ac:dyDescent="0.3">
      <c r="A1131" s="1" t="str">
        <f>"1_5736/2129-11/2024/Ч"</f>
        <v>1_5736/2129-11/2024/Ч</v>
      </c>
      <c r="B1131" s="6">
        <v>45607</v>
      </c>
      <c r="C1131" s="1" t="str">
        <f>"00038"</f>
        <v>00038</v>
      </c>
      <c r="D113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31" s="1" t="s">
        <v>20</v>
      </c>
      <c r="F11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31" s="1" t="str">
        <f t="shared" si="146"/>
        <v>Фізична особа</v>
      </c>
      <c r="H1131" s="1" t="s">
        <v>20</v>
      </c>
      <c r="I1131" s="1" t="s">
        <v>20</v>
      </c>
      <c r="J1131" s="1" t="str">
        <f>"Зареєстрований"</f>
        <v>Зареєстрований</v>
      </c>
      <c r="K1131" s="7" t="s">
        <v>20</v>
      </c>
      <c r="L1131" s="1" t="s">
        <v>20</v>
      </c>
      <c r="M1131" s="1" t="s">
        <v>22</v>
      </c>
      <c r="N1131" s="1" t="s">
        <v>20</v>
      </c>
    </row>
    <row r="1132" spans="1:14" x14ac:dyDescent="0.3">
      <c r="A1132" s="1" t="str">
        <f>"30_616-11/2024/О"</f>
        <v>30_616-11/2024/О</v>
      </c>
      <c r="B1132" s="6">
        <v>45607</v>
      </c>
      <c r="C1132" s="1" t="str">
        <f>"33"</f>
        <v>33</v>
      </c>
      <c r="D1132" s="2" t="str">
        <f>"33 Довідки різного характеру"</f>
        <v>33 Довідки різного характеру</v>
      </c>
      <c r="E1132" s="1" t="s">
        <v>20</v>
      </c>
      <c r="F11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32" s="1" t="str">
        <f t="shared" si="146"/>
        <v>Фізична особа</v>
      </c>
      <c r="H1132" s="1" t="s">
        <v>20</v>
      </c>
      <c r="I1132" s="1" t="s">
        <v>20</v>
      </c>
      <c r="J1132" s="1" t="str">
        <f t="shared" ref="J1132:J1163" si="150">"Закрито"</f>
        <v>Закрито</v>
      </c>
      <c r="K1132" s="5">
        <v>45607</v>
      </c>
      <c r="L1132" s="1" t="s">
        <v>20</v>
      </c>
      <c r="M1132" s="1" t="s">
        <v>22</v>
      </c>
      <c r="N1132" s="5">
        <v>45607</v>
      </c>
    </row>
    <row r="1133" spans="1:14" x14ac:dyDescent="0.3">
      <c r="A1133" s="1" t="str">
        <f>"1_5737/2129-11/2024/Ч"</f>
        <v>1_5737/2129-11/2024/Ч</v>
      </c>
      <c r="B1133" s="6">
        <v>45607</v>
      </c>
      <c r="C1133" s="1" t="str">
        <f>"00038"</f>
        <v>00038</v>
      </c>
      <c r="D113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33" s="1" t="s">
        <v>20</v>
      </c>
      <c r="F113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33" s="1" t="str">
        <f t="shared" si="146"/>
        <v>Фізична особа</v>
      </c>
      <c r="H1133" s="1" t="s">
        <v>20</v>
      </c>
      <c r="I1133" s="1" t="s">
        <v>20</v>
      </c>
      <c r="J1133" s="1" t="str">
        <f t="shared" si="150"/>
        <v>Закрито</v>
      </c>
      <c r="K1133" s="6">
        <v>45607</v>
      </c>
      <c r="L1133" s="1" t="s">
        <v>20</v>
      </c>
      <c r="M1133" s="1" t="s">
        <v>22</v>
      </c>
      <c r="N1133" s="5">
        <v>45607</v>
      </c>
    </row>
    <row r="1134" spans="1:14" x14ac:dyDescent="0.3">
      <c r="A1134" s="1" t="str">
        <f>"14_964-11/2024/Я"</f>
        <v>14_964-11/2024/Я</v>
      </c>
      <c r="B1134" s="6">
        <v>45607</v>
      </c>
      <c r="C1134" s="1" t="str">
        <f>"00038"</f>
        <v>00038</v>
      </c>
      <c r="D113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34" s="1" t="s">
        <v>20</v>
      </c>
      <c r="F11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34" s="1" t="str">
        <f t="shared" si="146"/>
        <v>Фізична особа</v>
      </c>
      <c r="H1134" s="1" t="s">
        <v>20</v>
      </c>
      <c r="I1134" s="1" t="s">
        <v>20</v>
      </c>
      <c r="J1134" s="1" t="str">
        <f t="shared" si="150"/>
        <v>Закрито</v>
      </c>
      <c r="K1134" s="5">
        <v>45607</v>
      </c>
      <c r="L1134" s="1" t="s">
        <v>20</v>
      </c>
      <c r="M1134" s="1" t="s">
        <v>22</v>
      </c>
      <c r="N1134" s="5">
        <v>45607</v>
      </c>
    </row>
    <row r="1135" spans="1:14" x14ac:dyDescent="0.3">
      <c r="A1135" s="1" t="str">
        <f>"6_338/04054323-11/2024/З"</f>
        <v>6_338/04054323-11/2024/З</v>
      </c>
      <c r="B1135" s="6">
        <v>45607</v>
      </c>
      <c r="C1135" s="1" t="str">
        <f>""</f>
        <v/>
      </c>
      <c r="D1135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135" s="1" t="str">
        <f>"04054323"</f>
        <v>04054323</v>
      </c>
      <c r="F1135" s="1" t="str">
        <f>"Рогатинська міська рада"</f>
        <v>Рогатинська міська рада</v>
      </c>
      <c r="G1135" s="1" t="str">
        <f t="shared" si="146"/>
        <v>Фізична особа</v>
      </c>
      <c r="H1135" s="1" t="s">
        <v>20</v>
      </c>
      <c r="I1135" s="1" t="s">
        <v>20</v>
      </c>
      <c r="J1135" s="1" t="str">
        <f t="shared" si="150"/>
        <v>Закрито</v>
      </c>
      <c r="K1135" s="5">
        <v>45607</v>
      </c>
      <c r="L1135" s="1" t="s">
        <v>20</v>
      </c>
      <c r="M1135" s="1" t="s">
        <v>22</v>
      </c>
      <c r="N1135" s="5">
        <v>45607</v>
      </c>
    </row>
    <row r="1136" spans="1:14" x14ac:dyDescent="0.3">
      <c r="A1136" s="1" t="str">
        <f>"1_5738/2129-11/2024/Ч"</f>
        <v>1_5738/2129-11/2024/Ч</v>
      </c>
      <c r="B1136" s="6">
        <v>45607</v>
      </c>
      <c r="C1136" s="1" t="str">
        <f>"00038"</f>
        <v>00038</v>
      </c>
      <c r="D113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36" s="1" t="s">
        <v>20</v>
      </c>
      <c r="F113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36" s="1" t="str">
        <f t="shared" si="146"/>
        <v>Фізична особа</v>
      </c>
      <c r="H1136" s="1" t="s">
        <v>20</v>
      </c>
      <c r="I1136" s="1" t="s">
        <v>20</v>
      </c>
      <c r="J1136" s="1" t="str">
        <f t="shared" si="150"/>
        <v>Закрито</v>
      </c>
      <c r="K1136" s="6">
        <v>45607</v>
      </c>
      <c r="L1136" s="1" t="s">
        <v>20</v>
      </c>
      <c r="M1136" s="1" t="s">
        <v>22</v>
      </c>
      <c r="N1136" s="5">
        <v>45607</v>
      </c>
    </row>
    <row r="1137" spans="1:14" x14ac:dyDescent="0.3">
      <c r="A1137" s="1" t="str">
        <f>"29_461-11/2024/к"</f>
        <v>29_461-11/2024/к</v>
      </c>
      <c r="B1137" s="6">
        <v>45607</v>
      </c>
      <c r="C1137" s="1" t="str">
        <f>""</f>
        <v/>
      </c>
      <c r="D1137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137" s="1" t="str">
        <f>"04054323"</f>
        <v>04054323</v>
      </c>
      <c r="F1137" s="1" t="str">
        <f>"Рогатинська міська рада"</f>
        <v>Рогатинська міська рада</v>
      </c>
      <c r="G1137" s="1" t="str">
        <f t="shared" si="146"/>
        <v>Фізична особа</v>
      </c>
      <c r="H1137" s="1" t="s">
        <v>20</v>
      </c>
      <c r="I1137" s="1" t="s">
        <v>20</v>
      </c>
      <c r="J1137" s="1" t="str">
        <f t="shared" si="150"/>
        <v>Закрито</v>
      </c>
      <c r="K1137" s="5">
        <v>45607</v>
      </c>
      <c r="L1137" s="1" t="s">
        <v>20</v>
      </c>
      <c r="M1137" s="1" t="s">
        <v>22</v>
      </c>
      <c r="N1137" s="5">
        <v>45607</v>
      </c>
    </row>
    <row r="1138" spans="1:14" x14ac:dyDescent="0.3">
      <c r="A1138" s="1" t="str">
        <f>"1_5739/2129-11/2024/М"</f>
        <v>1_5739/2129-11/2024/М</v>
      </c>
      <c r="B1138" s="6">
        <v>45607</v>
      </c>
      <c r="C1138" s="1" t="str">
        <f>"00038"</f>
        <v>00038</v>
      </c>
      <c r="D113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38" s="1" t="s">
        <v>20</v>
      </c>
      <c r="F113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38" s="1" t="str">
        <f t="shared" si="146"/>
        <v>Фізична особа</v>
      </c>
      <c r="H1138" s="1" t="s">
        <v>20</v>
      </c>
      <c r="I1138" s="1" t="s">
        <v>20</v>
      </c>
      <c r="J1138" s="1" t="str">
        <f t="shared" si="150"/>
        <v>Закрито</v>
      </c>
      <c r="K1138" s="6">
        <v>45607</v>
      </c>
      <c r="L1138" s="1" t="s">
        <v>20</v>
      </c>
      <c r="M1138" s="1" t="s">
        <v>22</v>
      </c>
      <c r="N1138" s="5">
        <v>45607</v>
      </c>
    </row>
    <row r="1139" spans="1:14" x14ac:dyDescent="0.3">
      <c r="A1139" s="1" t="str">
        <f>"1_5740/2129-11/2024/К"</f>
        <v>1_5740/2129-11/2024/К</v>
      </c>
      <c r="B1139" s="6">
        <v>45607</v>
      </c>
      <c r="C1139" s="1" t="str">
        <f>"00038"</f>
        <v>00038</v>
      </c>
      <c r="D113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39" s="1" t="s">
        <v>20</v>
      </c>
      <c r="F113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39" s="1" t="str">
        <f t="shared" si="146"/>
        <v>Фізична особа</v>
      </c>
      <c r="H1139" s="1" t="s">
        <v>20</v>
      </c>
      <c r="I1139" s="1" t="s">
        <v>20</v>
      </c>
      <c r="J1139" s="1" t="str">
        <f t="shared" si="150"/>
        <v>Закрито</v>
      </c>
      <c r="K1139" s="6">
        <v>45607</v>
      </c>
      <c r="L1139" s="1" t="s">
        <v>20</v>
      </c>
      <c r="M1139" s="1" t="s">
        <v>22</v>
      </c>
      <c r="N1139" s="5">
        <v>45607</v>
      </c>
    </row>
    <row r="1140" spans="1:14" x14ac:dyDescent="0.3">
      <c r="A1140" s="1" t="str">
        <f>"29_462-11/2024/м"</f>
        <v>29_462-11/2024/м</v>
      </c>
      <c r="B1140" s="6">
        <v>45607</v>
      </c>
      <c r="C1140" s="1" t="str">
        <f>""</f>
        <v/>
      </c>
      <c r="D1140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140" s="1" t="str">
        <f>"04054323"</f>
        <v>04054323</v>
      </c>
      <c r="F1140" s="1" t="str">
        <f>"Рогатинська міська рада"</f>
        <v>Рогатинська міська рада</v>
      </c>
      <c r="G1140" s="1" t="str">
        <f t="shared" si="146"/>
        <v>Фізична особа</v>
      </c>
      <c r="H1140" s="1" t="s">
        <v>20</v>
      </c>
      <c r="I1140" s="1" t="s">
        <v>20</v>
      </c>
      <c r="J1140" s="1" t="str">
        <f t="shared" si="150"/>
        <v>Закрито</v>
      </c>
      <c r="K1140" s="5">
        <v>45607</v>
      </c>
      <c r="L1140" s="1" t="s">
        <v>20</v>
      </c>
      <c r="M1140" s="1" t="s">
        <v>22</v>
      </c>
      <c r="N1140" s="5">
        <v>45607</v>
      </c>
    </row>
    <row r="1141" spans="1:14" x14ac:dyDescent="0.3">
      <c r="A1141" s="1" t="str">
        <f>"14_965-11/2024/Е"</f>
        <v>14_965-11/2024/Е</v>
      </c>
      <c r="B1141" s="6">
        <v>45607</v>
      </c>
      <c r="C1141" s="1" t="str">
        <f>"00038"</f>
        <v>00038</v>
      </c>
      <c r="D114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41" s="1" t="s">
        <v>20</v>
      </c>
      <c r="F114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41" s="1" t="str">
        <f t="shared" si="146"/>
        <v>Фізична особа</v>
      </c>
      <c r="H1141" s="1" t="s">
        <v>20</v>
      </c>
      <c r="I1141" s="1" t="s">
        <v>20</v>
      </c>
      <c r="J1141" s="1" t="str">
        <f t="shared" si="150"/>
        <v>Закрито</v>
      </c>
      <c r="K1141" s="5">
        <v>45607</v>
      </c>
      <c r="L1141" s="1" t="s">
        <v>20</v>
      </c>
      <c r="M1141" s="1" t="s">
        <v>22</v>
      </c>
      <c r="N1141" s="5">
        <v>45607</v>
      </c>
    </row>
    <row r="1142" spans="1:14" x14ac:dyDescent="0.3">
      <c r="A1142" s="1" t="str">
        <f>"3_836-11/2024/Р"</f>
        <v>3_836-11/2024/Р</v>
      </c>
      <c r="B1142" s="6">
        <v>45607</v>
      </c>
      <c r="C1142" s="1" t="str">
        <f>"00133"</f>
        <v>00133</v>
      </c>
      <c r="D1142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142" s="1" t="str">
        <f>"03193413"</f>
        <v>03193413</v>
      </c>
      <c r="F114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42" s="1" t="str">
        <f t="shared" si="146"/>
        <v>Фізична особа</v>
      </c>
      <c r="H1142" s="1" t="s">
        <v>20</v>
      </c>
      <c r="I1142" s="1" t="s">
        <v>20</v>
      </c>
      <c r="J1142" s="1" t="str">
        <f t="shared" si="150"/>
        <v>Закрито</v>
      </c>
      <c r="K1142" s="5">
        <v>45618</v>
      </c>
      <c r="L1142" s="1" t="s">
        <v>20</v>
      </c>
      <c r="M1142" s="1" t="s">
        <v>22</v>
      </c>
      <c r="N1142" s="5">
        <v>45618</v>
      </c>
    </row>
    <row r="1143" spans="1:14" x14ac:dyDescent="0.3">
      <c r="A1143" s="1" t="str">
        <f>"1_5741/2129-11/2024/Ч"</f>
        <v>1_5741/2129-11/2024/Ч</v>
      </c>
      <c r="B1143" s="6">
        <v>45607</v>
      </c>
      <c r="C1143" s="1" t="str">
        <f>"00038"</f>
        <v>00038</v>
      </c>
      <c r="D114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43" s="1" t="s">
        <v>20</v>
      </c>
      <c r="F114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43" s="1" t="str">
        <f t="shared" si="146"/>
        <v>Фізична особа</v>
      </c>
      <c r="H1143" s="1" t="s">
        <v>20</v>
      </c>
      <c r="I1143" s="1" t="s">
        <v>20</v>
      </c>
      <c r="J1143" s="1" t="str">
        <f t="shared" si="150"/>
        <v>Закрито</v>
      </c>
      <c r="K1143" s="6">
        <v>45607</v>
      </c>
      <c r="L1143" s="1" t="s">
        <v>20</v>
      </c>
      <c r="M1143" s="1" t="s">
        <v>22</v>
      </c>
      <c r="N1143" s="5">
        <v>45607</v>
      </c>
    </row>
    <row r="1144" spans="1:14" x14ac:dyDescent="0.3">
      <c r="A1144" s="1" t="str">
        <f>"29_463-11/2024/д"</f>
        <v>29_463-11/2024/д</v>
      </c>
      <c r="B1144" s="6">
        <v>45607</v>
      </c>
      <c r="C1144" s="1" t="str">
        <f>""</f>
        <v/>
      </c>
      <c r="D1144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144" s="1" t="str">
        <f>"04054323"</f>
        <v>04054323</v>
      </c>
      <c r="F1144" s="1" t="str">
        <f>"Рогатинська міська рада"</f>
        <v>Рогатинська міська рада</v>
      </c>
      <c r="G1144" s="1" t="str">
        <f t="shared" si="146"/>
        <v>Фізична особа</v>
      </c>
      <c r="H1144" s="1" t="s">
        <v>20</v>
      </c>
      <c r="I1144" s="1" t="s">
        <v>20</v>
      </c>
      <c r="J1144" s="1" t="str">
        <f t="shared" si="150"/>
        <v>Закрито</v>
      </c>
      <c r="K1144" s="5">
        <v>45607</v>
      </c>
      <c r="L1144" s="1" t="s">
        <v>20</v>
      </c>
      <c r="M1144" s="1" t="s">
        <v>22</v>
      </c>
      <c r="N1144" s="5">
        <v>45607</v>
      </c>
    </row>
    <row r="1145" spans="1:14" x14ac:dyDescent="0.3">
      <c r="A1145" s="1" t="str">
        <f>"6_339/04054323-11/2024/Н"</f>
        <v>6_339/04054323-11/2024/Н</v>
      </c>
      <c r="B1145" s="6">
        <v>45607</v>
      </c>
      <c r="C1145" s="1" t="str">
        <f>""</f>
        <v/>
      </c>
      <c r="D1145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145" s="1" t="str">
        <f>"04054323"</f>
        <v>04054323</v>
      </c>
      <c r="F1145" s="1" t="str">
        <f>"Рогатинська міська рада"</f>
        <v>Рогатинська міська рада</v>
      </c>
      <c r="G1145" s="1" t="str">
        <f t="shared" si="146"/>
        <v>Фізична особа</v>
      </c>
      <c r="H1145" s="1" t="s">
        <v>20</v>
      </c>
      <c r="I1145" s="1" t="s">
        <v>20</v>
      </c>
      <c r="J1145" s="1" t="str">
        <f t="shared" si="150"/>
        <v>Закрито</v>
      </c>
      <c r="K1145" s="5">
        <v>45607</v>
      </c>
      <c r="L1145" s="1" t="s">
        <v>20</v>
      </c>
      <c r="M1145" s="1" t="s">
        <v>22</v>
      </c>
      <c r="N1145" s="5">
        <v>45607</v>
      </c>
    </row>
    <row r="1146" spans="1:14" x14ac:dyDescent="0.3">
      <c r="A1146" s="1" t="str">
        <f>"5_495/2129-11/2024/Т"</f>
        <v>5_495/2129-11/2024/Т</v>
      </c>
      <c r="B1146" s="6">
        <v>45607</v>
      </c>
      <c r="C1146" s="1" t="str">
        <f>"00054"</f>
        <v>00054</v>
      </c>
      <c r="D1146" s="2" t="s">
        <v>2</v>
      </c>
      <c r="E1146" s="1" t="s">
        <v>20</v>
      </c>
      <c r="F114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46" s="1" t="str">
        <f>"Юридична особа"</f>
        <v>Юридична особа</v>
      </c>
      <c r="H1146" s="1" t="str">
        <f>"ТОВАРИСТВО З ОБМЕЖЕНОЮ ВІДПОВІДАЛЬНІСТЮ ""ТАНКЕР ПРОФ СЕРВІС"""</f>
        <v>ТОВАРИСТВО З ОБМЕЖЕНОЮ ВІДПОВІДАЛЬНІСТЮ "ТАНКЕР ПРОФ СЕРВІС"</v>
      </c>
      <c r="I1146" s="1" t="str">
        <f>"45814552"</f>
        <v>45814552</v>
      </c>
      <c r="J1146" s="1" t="str">
        <f t="shared" si="150"/>
        <v>Закрито</v>
      </c>
      <c r="K1146" s="5">
        <v>45607</v>
      </c>
      <c r="L1146" s="1" t="str">
        <f>"910.0"</f>
        <v>910.0</v>
      </c>
      <c r="M1146" s="1" t="s">
        <v>22</v>
      </c>
      <c r="N1146" s="5">
        <v>45607</v>
      </c>
    </row>
    <row r="1147" spans="1:14" x14ac:dyDescent="0.3">
      <c r="A1147" s="1" t="str">
        <f>"15_332-11/2024/С"</f>
        <v>15_332-11/2024/С</v>
      </c>
      <c r="B1147" s="6">
        <v>45607</v>
      </c>
      <c r="C1147" s="1" t="str">
        <f>"00064"</f>
        <v>00064</v>
      </c>
      <c r="D1147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147" s="1" t="s">
        <v>20</v>
      </c>
      <c r="F1147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147" s="1" t="str">
        <f>"Фізична особа"</f>
        <v>Фізична особа</v>
      </c>
      <c r="H1147" s="1" t="s">
        <v>20</v>
      </c>
      <c r="I1147" s="1" t="s">
        <v>20</v>
      </c>
      <c r="J1147" s="1" t="str">
        <f t="shared" si="150"/>
        <v>Закрито</v>
      </c>
      <c r="K1147" s="5">
        <v>45607</v>
      </c>
      <c r="L1147" s="1" t="s">
        <v>20</v>
      </c>
      <c r="M1147" s="1" t="s">
        <v>22</v>
      </c>
      <c r="N1147" s="5">
        <v>45607</v>
      </c>
    </row>
    <row r="1148" spans="1:14" x14ac:dyDescent="0.3">
      <c r="A1148" s="1" t="str">
        <f>"5_496/2129-11/2024/Т"</f>
        <v>5_496/2129-11/2024/Т</v>
      </c>
      <c r="B1148" s="6">
        <v>45607</v>
      </c>
      <c r="C1148" s="1" t="str">
        <f>"00054"</f>
        <v>00054</v>
      </c>
      <c r="D1148" s="2" t="s">
        <v>2</v>
      </c>
      <c r="E1148" s="1" t="s">
        <v>20</v>
      </c>
      <c r="F114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48" s="1" t="str">
        <f>"Юридична особа"</f>
        <v>Юридична особа</v>
      </c>
      <c r="H1148" s="1" t="str">
        <f>"ТОВАРИСТВО З ОБМЕЖЕНОЮ ВІДПОВІДАЛЬНІСТЮ ""ВС-СТАТУС-ГРУП"""</f>
        <v>ТОВАРИСТВО З ОБМЕЖЕНОЮ ВІДПОВІДАЛЬНІСТЮ "ВС-СТАТУС-ГРУП"</v>
      </c>
      <c r="I1148" s="1" t="str">
        <f>"45741008"</f>
        <v>45741008</v>
      </c>
      <c r="J1148" s="1" t="str">
        <f t="shared" si="150"/>
        <v>Закрито</v>
      </c>
      <c r="K1148" s="5">
        <v>45607</v>
      </c>
      <c r="L1148" s="1" t="str">
        <f>"910.0"</f>
        <v>910.0</v>
      </c>
      <c r="M1148" s="1" t="s">
        <v>22</v>
      </c>
      <c r="N1148" s="5">
        <v>45607</v>
      </c>
    </row>
    <row r="1149" spans="1:14" x14ac:dyDescent="0.3">
      <c r="A1149" s="1" t="str">
        <f>"9_1619/04054323-11/2024/С"</f>
        <v>9_1619/04054323-11/2024/С</v>
      </c>
      <c r="B1149" s="6">
        <v>45607</v>
      </c>
      <c r="C1149" s="1" t="str">
        <f>"01-1"</f>
        <v>01-1</v>
      </c>
      <c r="D1149" s="2" t="s">
        <v>0</v>
      </c>
      <c r="E1149" s="1" t="str">
        <f>"04054323"</f>
        <v>04054323</v>
      </c>
      <c r="F1149" s="1" t="str">
        <f>"Рогатинська міська рада"</f>
        <v>Рогатинська міська рада</v>
      </c>
      <c r="G1149" s="1" t="str">
        <f t="shared" ref="G1149:G1157" si="151">"Фізична особа"</f>
        <v>Фізична особа</v>
      </c>
      <c r="H1149" s="1" t="s">
        <v>20</v>
      </c>
      <c r="I1149" s="1" t="s">
        <v>20</v>
      </c>
      <c r="J1149" s="1" t="str">
        <f t="shared" si="150"/>
        <v>Закрито</v>
      </c>
      <c r="K1149" s="5">
        <v>45637</v>
      </c>
      <c r="L1149" s="1" t="s">
        <v>20</v>
      </c>
      <c r="M1149" s="1" t="s">
        <v>22</v>
      </c>
      <c r="N1149" s="5">
        <v>45637</v>
      </c>
    </row>
    <row r="1150" spans="1:14" x14ac:dyDescent="0.3">
      <c r="A1150" s="1" t="str">
        <f>"27_580-11/2024/Я"</f>
        <v>27_580-11/2024/Я</v>
      </c>
      <c r="B1150" s="6">
        <v>45607</v>
      </c>
      <c r="C1150" s="1" t="str">
        <f>"00038"</f>
        <v>00038</v>
      </c>
      <c r="D115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50" s="1" t="s">
        <v>20</v>
      </c>
      <c r="F115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50" s="1" t="str">
        <f t="shared" si="151"/>
        <v>Фізична особа</v>
      </c>
      <c r="H1150" s="1" t="s">
        <v>20</v>
      </c>
      <c r="I1150" s="1" t="s">
        <v>20</v>
      </c>
      <c r="J1150" s="1" t="str">
        <f t="shared" si="150"/>
        <v>Закрито</v>
      </c>
      <c r="K1150" s="5">
        <v>45607</v>
      </c>
      <c r="L1150" s="1" t="s">
        <v>20</v>
      </c>
      <c r="M1150" s="1" t="s">
        <v>22</v>
      </c>
      <c r="N1150" s="5">
        <v>45607</v>
      </c>
    </row>
    <row r="1151" spans="1:14" x14ac:dyDescent="0.3">
      <c r="A1151" s="1" t="str">
        <f>"1_5742/2129-11/2024/К"</f>
        <v>1_5742/2129-11/2024/К</v>
      </c>
      <c r="B1151" s="6">
        <v>45607</v>
      </c>
      <c r="C1151" s="1" t="str">
        <f>"00038"</f>
        <v>00038</v>
      </c>
      <c r="D115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51" s="1" t="s">
        <v>20</v>
      </c>
      <c r="F11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51" s="1" t="str">
        <f t="shared" si="151"/>
        <v>Фізична особа</v>
      </c>
      <c r="H1151" s="1" t="s">
        <v>20</v>
      </c>
      <c r="I1151" s="1" t="s">
        <v>20</v>
      </c>
      <c r="J1151" s="1" t="str">
        <f t="shared" si="150"/>
        <v>Закрито</v>
      </c>
      <c r="K1151" s="6">
        <v>45607</v>
      </c>
      <c r="L1151" s="1" t="s">
        <v>20</v>
      </c>
      <c r="M1151" s="1" t="s">
        <v>22</v>
      </c>
      <c r="N1151" s="5">
        <v>45607</v>
      </c>
    </row>
    <row r="1152" spans="1:14" x14ac:dyDescent="0.3">
      <c r="A1152" s="1" t="str">
        <f>"1_5743/2129-11/2024/В"</f>
        <v>1_5743/2129-11/2024/В</v>
      </c>
      <c r="B1152" s="6">
        <v>45607</v>
      </c>
      <c r="C1152" s="1" t="str">
        <f>"00038"</f>
        <v>00038</v>
      </c>
      <c r="D115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52" s="1" t="s">
        <v>20</v>
      </c>
      <c r="F11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52" s="1" t="str">
        <f t="shared" si="151"/>
        <v>Фізична особа</v>
      </c>
      <c r="H1152" s="1" t="s">
        <v>20</v>
      </c>
      <c r="I1152" s="1" t="s">
        <v>20</v>
      </c>
      <c r="J1152" s="1" t="str">
        <f t="shared" si="150"/>
        <v>Закрито</v>
      </c>
      <c r="K1152" s="6">
        <v>45607</v>
      </c>
      <c r="L1152" s="1" t="s">
        <v>20</v>
      </c>
      <c r="M1152" s="1" t="s">
        <v>22</v>
      </c>
      <c r="N1152" s="5">
        <v>45607</v>
      </c>
    </row>
    <row r="1153" spans="1:14" x14ac:dyDescent="0.3">
      <c r="A1153" s="1" t="str">
        <f>"1_5744/2129-11/2024/В"</f>
        <v>1_5744/2129-11/2024/В</v>
      </c>
      <c r="B1153" s="6">
        <v>45607</v>
      </c>
      <c r="C1153" s="1" t="str">
        <f>"00038"</f>
        <v>00038</v>
      </c>
      <c r="D115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53" s="1" t="s">
        <v>20</v>
      </c>
      <c r="F11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53" s="1" t="str">
        <f t="shared" si="151"/>
        <v>Фізична особа</v>
      </c>
      <c r="H1153" s="1" t="s">
        <v>20</v>
      </c>
      <c r="I1153" s="1" t="s">
        <v>20</v>
      </c>
      <c r="J1153" s="1" t="str">
        <f t="shared" si="150"/>
        <v>Закрито</v>
      </c>
      <c r="K1153" s="6">
        <v>45607</v>
      </c>
      <c r="L1153" s="1" t="s">
        <v>20</v>
      </c>
      <c r="M1153" s="1" t="s">
        <v>22</v>
      </c>
      <c r="N1153" s="5">
        <v>45607</v>
      </c>
    </row>
    <row r="1154" spans="1:14" x14ac:dyDescent="0.3">
      <c r="A1154" s="1" t="str">
        <f>"6_340/2129-11/2024/Г"</f>
        <v>6_340/2129-11/2024/Г</v>
      </c>
      <c r="B1154" s="6">
        <v>45607</v>
      </c>
      <c r="C1154" s="1" t="str">
        <f>"01376"</f>
        <v>01376</v>
      </c>
      <c r="D1154" s="2" t="str">
        <f>"Реєстрація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(СС1)"</f>
        <v>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</v>
      </c>
      <c r="E1154" s="1" t="s">
        <v>20</v>
      </c>
      <c r="F115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54" s="1" t="str">
        <f t="shared" si="151"/>
        <v>Фізична особа</v>
      </c>
      <c r="H1154" s="1" t="s">
        <v>20</v>
      </c>
      <c r="I1154" s="1" t="s">
        <v>20</v>
      </c>
      <c r="J1154" s="1" t="str">
        <f t="shared" si="150"/>
        <v>Закрито</v>
      </c>
      <c r="K1154" s="5">
        <v>45611</v>
      </c>
      <c r="L1154" s="1" t="s">
        <v>20</v>
      </c>
      <c r="M1154" s="1" t="s">
        <v>22</v>
      </c>
      <c r="N1154" s="5">
        <v>45611</v>
      </c>
    </row>
    <row r="1155" spans="1:14" x14ac:dyDescent="0.3">
      <c r="A1155" s="1" t="str">
        <f>"9_1620/04054323-11/2024/С"</f>
        <v>9_1620/04054323-11/2024/С</v>
      </c>
      <c r="B1155" s="6">
        <v>45607</v>
      </c>
      <c r="C1155" s="1" t="str">
        <f>"01-1"</f>
        <v>01-1</v>
      </c>
      <c r="D1155" s="2" t="s">
        <v>0</v>
      </c>
      <c r="E1155" s="1" t="str">
        <f>"04054323"</f>
        <v>04054323</v>
      </c>
      <c r="F1155" s="1" t="str">
        <f>"Рогатинська міська рада"</f>
        <v>Рогатинська міська рада</v>
      </c>
      <c r="G1155" s="1" t="str">
        <f t="shared" si="151"/>
        <v>Фізична особа</v>
      </c>
      <c r="H1155" s="1" t="s">
        <v>20</v>
      </c>
      <c r="I1155" s="1" t="s">
        <v>20</v>
      </c>
      <c r="J1155" s="1" t="str">
        <f t="shared" si="150"/>
        <v>Закрито</v>
      </c>
      <c r="K1155" s="5">
        <v>45637</v>
      </c>
      <c r="L1155" s="1" t="s">
        <v>20</v>
      </c>
      <c r="M1155" s="1" t="s">
        <v>22</v>
      </c>
      <c r="N1155" s="5">
        <v>45637</v>
      </c>
    </row>
    <row r="1156" spans="1:14" x14ac:dyDescent="0.3">
      <c r="A1156" s="1" t="str">
        <f>"1_5745/2129-11/2024/Н"</f>
        <v>1_5745/2129-11/2024/Н</v>
      </c>
      <c r="B1156" s="6">
        <v>45607</v>
      </c>
      <c r="C1156" s="1" t="str">
        <f>"00038"</f>
        <v>00038</v>
      </c>
      <c r="D115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56" s="1" t="s">
        <v>20</v>
      </c>
      <c r="F115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56" s="1" t="str">
        <f t="shared" si="151"/>
        <v>Фізична особа</v>
      </c>
      <c r="H1156" s="1" t="s">
        <v>20</v>
      </c>
      <c r="I1156" s="1" t="s">
        <v>20</v>
      </c>
      <c r="J1156" s="1" t="str">
        <f t="shared" si="150"/>
        <v>Закрито</v>
      </c>
      <c r="K1156" s="6">
        <v>45607</v>
      </c>
      <c r="L1156" s="1" t="s">
        <v>20</v>
      </c>
      <c r="M1156" s="1" t="s">
        <v>22</v>
      </c>
      <c r="N1156" s="5">
        <v>45607</v>
      </c>
    </row>
    <row r="1157" spans="1:14" x14ac:dyDescent="0.3">
      <c r="A1157" s="1" t="str">
        <f>"1_5746/2129-11/2024/Г"</f>
        <v>1_5746/2129-11/2024/Г</v>
      </c>
      <c r="B1157" s="6">
        <v>45607</v>
      </c>
      <c r="C1157" s="1" t="str">
        <f>"00038"</f>
        <v>00038</v>
      </c>
      <c r="D115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57" s="1" t="s">
        <v>20</v>
      </c>
      <c r="F11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57" s="1" t="str">
        <f t="shared" si="151"/>
        <v>Фізична особа</v>
      </c>
      <c r="H1157" s="1" t="s">
        <v>20</v>
      </c>
      <c r="I1157" s="1" t="s">
        <v>20</v>
      </c>
      <c r="J1157" s="1" t="str">
        <f t="shared" si="150"/>
        <v>Закрито</v>
      </c>
      <c r="K1157" s="6">
        <v>45607</v>
      </c>
      <c r="L1157" s="1" t="s">
        <v>20</v>
      </c>
      <c r="M1157" s="1" t="s">
        <v>22</v>
      </c>
      <c r="N1157" s="5">
        <v>45607</v>
      </c>
    </row>
    <row r="1158" spans="1:14" x14ac:dyDescent="0.3">
      <c r="A1158" s="1" t="str">
        <f>"1_5747/2129-11/2024/П"</f>
        <v>1_5747/2129-11/2024/П</v>
      </c>
      <c r="B1158" s="6">
        <v>45607</v>
      </c>
      <c r="C1158" s="1" t="str">
        <f>"01298"</f>
        <v>01298</v>
      </c>
      <c r="D1158" s="2" t="str">
        <f>"Видача довідки про реєстрацію місця проживання померлого,  у тому числі про поживаючих разом з померлим за однією адресою"</f>
        <v>Видача довідки про реєстрацію місця проживання померлого,  у тому числі про поживаючих разом з померлим за однією адресою</v>
      </c>
      <c r="E1158" s="1" t="s">
        <v>20</v>
      </c>
      <c r="F115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58" s="1" t="str">
        <f>"Юридична особа"</f>
        <v>Юридична особа</v>
      </c>
      <c r="H1158" s="1" t="str">
        <f>"Приватний нотаріус"</f>
        <v>Приватний нотаріус</v>
      </c>
      <c r="I1158" s="1" t="s">
        <v>20</v>
      </c>
      <c r="J1158" s="1" t="str">
        <f t="shared" si="150"/>
        <v>Закрито</v>
      </c>
      <c r="K1158" s="6">
        <v>45607</v>
      </c>
      <c r="L1158" s="1" t="s">
        <v>20</v>
      </c>
      <c r="M1158" s="1" t="s">
        <v>22</v>
      </c>
      <c r="N1158" s="5">
        <v>45607</v>
      </c>
    </row>
    <row r="1159" spans="1:14" x14ac:dyDescent="0.3">
      <c r="A1159" s="1" t="str">
        <f>"2_1938/04054323-11/2024/К"</f>
        <v>2_1938/04054323-11/2024/К</v>
      </c>
      <c r="B1159" s="6">
        <v>45607</v>
      </c>
      <c r="C1159" s="1" t="str">
        <f>"00153"</f>
        <v>00153</v>
      </c>
      <c r="D1159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1159" s="1" t="str">
        <f>"04054323"</f>
        <v>04054323</v>
      </c>
      <c r="F1159" s="1" t="str">
        <f>"Рогатинська міська рада"</f>
        <v>Рогатинська міська рада</v>
      </c>
      <c r="G1159" s="1" t="str">
        <f t="shared" ref="G1159:G1176" si="152">"Фізична особа"</f>
        <v>Фізична особа</v>
      </c>
      <c r="H1159" s="1" t="s">
        <v>20</v>
      </c>
      <c r="I1159" s="1" t="s">
        <v>20</v>
      </c>
      <c r="J1159" s="1" t="str">
        <f t="shared" si="150"/>
        <v>Закрито</v>
      </c>
      <c r="K1159" s="5">
        <v>45628</v>
      </c>
      <c r="L1159" s="1" t="s">
        <v>20</v>
      </c>
      <c r="M1159" s="1" t="s">
        <v>22</v>
      </c>
      <c r="N1159" s="5">
        <v>45628</v>
      </c>
    </row>
    <row r="1160" spans="1:14" x14ac:dyDescent="0.3">
      <c r="A1160" s="1" t="str">
        <f>"21_647-11/2024/Г"</f>
        <v>21_647-11/2024/Г</v>
      </c>
      <c r="B1160" s="6">
        <v>45607</v>
      </c>
      <c r="C1160" s="1" t="str">
        <f>"00038"</f>
        <v>00038</v>
      </c>
      <c r="D116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60" s="1" t="s">
        <v>20</v>
      </c>
      <c r="F11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60" s="1" t="str">
        <f t="shared" si="152"/>
        <v>Фізична особа</v>
      </c>
      <c r="H1160" s="1" t="s">
        <v>20</v>
      </c>
      <c r="I1160" s="1" t="s">
        <v>20</v>
      </c>
      <c r="J1160" s="1" t="str">
        <f t="shared" si="150"/>
        <v>Закрито</v>
      </c>
      <c r="K1160" s="5">
        <v>45607</v>
      </c>
      <c r="L1160" s="1" t="s">
        <v>20</v>
      </c>
      <c r="M1160" s="1" t="s">
        <v>22</v>
      </c>
      <c r="N1160" s="5">
        <v>45607</v>
      </c>
    </row>
    <row r="1161" spans="1:14" x14ac:dyDescent="0.3">
      <c r="A1161" s="1" t="str">
        <f>"21_648-11/2024/Н"</f>
        <v>21_648-11/2024/Н</v>
      </c>
      <c r="B1161" s="6">
        <v>45607</v>
      </c>
      <c r="C1161" s="1" t="str">
        <f>"33"</f>
        <v>33</v>
      </c>
      <c r="D1161" s="2" t="str">
        <f>"33 Довідки різного характеру"</f>
        <v>33 Довідки різного характеру</v>
      </c>
      <c r="E1161" s="1" t="s">
        <v>20</v>
      </c>
      <c r="F116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61" s="1" t="str">
        <f t="shared" si="152"/>
        <v>Фізична особа</v>
      </c>
      <c r="H1161" s="1" t="s">
        <v>20</v>
      </c>
      <c r="I1161" s="1" t="s">
        <v>20</v>
      </c>
      <c r="J1161" s="1" t="str">
        <f t="shared" si="150"/>
        <v>Закрито</v>
      </c>
      <c r="K1161" s="5">
        <v>45607</v>
      </c>
      <c r="L1161" s="1" t="s">
        <v>20</v>
      </c>
      <c r="M1161" s="1" t="s">
        <v>22</v>
      </c>
      <c r="N1161" s="5">
        <v>45607</v>
      </c>
    </row>
    <row r="1162" spans="1:14" x14ac:dyDescent="0.3">
      <c r="A1162" s="1" t="str">
        <f>"6_373-11/2024/Б"</f>
        <v>6_373-11/2024/Б</v>
      </c>
      <c r="B1162" s="6">
        <v>45607</v>
      </c>
      <c r="C1162" s="1" t="str">
        <f>"33"</f>
        <v>33</v>
      </c>
      <c r="D1162" s="2" t="str">
        <f>"33 Довідки різного характеру"</f>
        <v>33 Довідки різного характеру</v>
      </c>
      <c r="E1162" s="1" t="s">
        <v>20</v>
      </c>
      <c r="F116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62" s="1" t="str">
        <f t="shared" si="152"/>
        <v>Фізична особа</v>
      </c>
      <c r="H1162" s="1" t="s">
        <v>20</v>
      </c>
      <c r="I1162" s="1" t="s">
        <v>20</v>
      </c>
      <c r="J1162" s="1" t="str">
        <f t="shared" si="150"/>
        <v>Закрито</v>
      </c>
      <c r="K1162" s="5">
        <v>45607</v>
      </c>
      <c r="L1162" s="1" t="s">
        <v>20</v>
      </c>
      <c r="M1162" s="1" t="s">
        <v>22</v>
      </c>
      <c r="N1162" s="5">
        <v>45607</v>
      </c>
    </row>
    <row r="1163" spans="1:14" x14ac:dyDescent="0.3">
      <c r="A1163" s="1" t="str">
        <f>"6_374-11/2024/Б"</f>
        <v>6_374-11/2024/Б</v>
      </c>
      <c r="B1163" s="6">
        <v>45607</v>
      </c>
      <c r="C1163" s="1" t="str">
        <f>"33"</f>
        <v>33</v>
      </c>
      <c r="D1163" s="2" t="str">
        <f>"33 Довідки різного характеру"</f>
        <v>33 Довідки різного характеру</v>
      </c>
      <c r="E1163" s="1" t="s">
        <v>20</v>
      </c>
      <c r="F116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63" s="1" t="str">
        <f t="shared" si="152"/>
        <v>Фізична особа</v>
      </c>
      <c r="H1163" s="1" t="s">
        <v>20</v>
      </c>
      <c r="I1163" s="1" t="s">
        <v>20</v>
      </c>
      <c r="J1163" s="1" t="str">
        <f t="shared" si="150"/>
        <v>Закрито</v>
      </c>
      <c r="K1163" s="5">
        <v>45607</v>
      </c>
      <c r="L1163" s="1" t="s">
        <v>20</v>
      </c>
      <c r="M1163" s="1" t="s">
        <v>22</v>
      </c>
      <c r="N1163" s="5">
        <v>45607</v>
      </c>
    </row>
    <row r="1164" spans="1:14" x14ac:dyDescent="0.3">
      <c r="A1164" s="1" t="str">
        <f>"22_538-11/2024/Б"</f>
        <v>22_538-11/2024/Б</v>
      </c>
      <c r="B1164" s="6">
        <v>45607</v>
      </c>
      <c r="C1164" s="1" t="str">
        <f>"33"</f>
        <v>33</v>
      </c>
      <c r="D1164" s="2" t="str">
        <f>"33 Довідки різного характеру"</f>
        <v>33 Довідки різного характеру</v>
      </c>
      <c r="E1164" s="1" t="s">
        <v>20</v>
      </c>
      <c r="F11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64" s="1" t="str">
        <f t="shared" si="152"/>
        <v>Фізична особа</v>
      </c>
      <c r="H1164" s="1" t="s">
        <v>20</v>
      </c>
      <c r="I1164" s="1" t="s">
        <v>20</v>
      </c>
      <c r="J1164" s="1" t="str">
        <f t="shared" ref="J1164:J1195" si="153">"Закрито"</f>
        <v>Закрито</v>
      </c>
      <c r="K1164" s="5">
        <v>45607</v>
      </c>
      <c r="L1164" s="1" t="s">
        <v>20</v>
      </c>
      <c r="M1164" s="1" t="s">
        <v>22</v>
      </c>
      <c r="N1164" s="5">
        <v>45607</v>
      </c>
    </row>
    <row r="1165" spans="1:14" x14ac:dyDescent="0.3">
      <c r="A1165" s="1" t="str">
        <f>"9_1621/04054323-11/2024/Б"</f>
        <v>9_1621/04054323-11/2024/Б</v>
      </c>
      <c r="B1165" s="6">
        <v>45607</v>
      </c>
      <c r="C1165" s="1" t="str">
        <f>"01"</f>
        <v>01</v>
      </c>
      <c r="D1165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165" s="1" t="str">
        <f>"04054323"</f>
        <v>04054323</v>
      </c>
      <c r="F1165" s="1" t="str">
        <f>"Рогатинська міська рада"</f>
        <v>Рогатинська міська рада</v>
      </c>
      <c r="G1165" s="1" t="str">
        <f t="shared" si="152"/>
        <v>Фізична особа</v>
      </c>
      <c r="H1165" s="1" t="s">
        <v>20</v>
      </c>
      <c r="I1165" s="1" t="s">
        <v>20</v>
      </c>
      <c r="J1165" s="1" t="str">
        <f t="shared" si="153"/>
        <v>Закрито</v>
      </c>
      <c r="K1165" s="5">
        <v>45637</v>
      </c>
      <c r="L1165" s="1" t="s">
        <v>20</v>
      </c>
      <c r="M1165" s="1" t="s">
        <v>22</v>
      </c>
      <c r="N1165" s="5">
        <v>45637</v>
      </c>
    </row>
    <row r="1166" spans="1:14" x14ac:dyDescent="0.3">
      <c r="A1166" s="1" t="str">
        <f>"2_1939/2129-11/2024/Л"</f>
        <v>2_1939/2129-11/2024/Л</v>
      </c>
      <c r="B1166" s="6">
        <v>45607</v>
      </c>
      <c r="C1166" s="1" t="str">
        <f>"00041"</f>
        <v>00041</v>
      </c>
      <c r="D116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66" s="1" t="s">
        <v>20</v>
      </c>
      <c r="F1166" s="1" t="str">
        <f t="shared" ref="F1166:F1177" si="154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66" s="1" t="str">
        <f t="shared" si="152"/>
        <v>Фізична особа</v>
      </c>
      <c r="H1166" s="1" t="s">
        <v>20</v>
      </c>
      <c r="I1166" s="1" t="s">
        <v>20</v>
      </c>
      <c r="J1166" s="1" t="str">
        <f t="shared" si="153"/>
        <v>Закрито</v>
      </c>
      <c r="K1166" s="5">
        <v>45607</v>
      </c>
      <c r="L1166" s="1" t="s">
        <v>20</v>
      </c>
      <c r="M1166" s="1" t="s">
        <v>22</v>
      </c>
      <c r="N1166" s="5">
        <v>45607</v>
      </c>
    </row>
    <row r="1167" spans="1:14" x14ac:dyDescent="0.3">
      <c r="A1167" s="1" t="str">
        <f>"2_1940/2129-11/2024/М"</f>
        <v>2_1940/2129-11/2024/М</v>
      </c>
      <c r="B1167" s="6">
        <v>45607</v>
      </c>
      <c r="C1167" s="1" t="str">
        <f>"00041"</f>
        <v>00041</v>
      </c>
      <c r="D116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67" s="1" t="s">
        <v>20</v>
      </c>
      <c r="F1167" s="1" t="str">
        <f t="shared" si="154"/>
        <v>Центр надання адміністративних послуг Рогатинської міської ради</v>
      </c>
      <c r="G1167" s="1" t="str">
        <f t="shared" si="152"/>
        <v>Фізична особа</v>
      </c>
      <c r="H1167" s="1" t="s">
        <v>20</v>
      </c>
      <c r="I1167" s="1" t="s">
        <v>20</v>
      </c>
      <c r="J1167" s="1" t="str">
        <f t="shared" si="153"/>
        <v>Закрито</v>
      </c>
      <c r="K1167" s="5">
        <v>45607</v>
      </c>
      <c r="L1167" s="1" t="s">
        <v>20</v>
      </c>
      <c r="M1167" s="1" t="s">
        <v>22</v>
      </c>
      <c r="N1167" s="5">
        <v>45607</v>
      </c>
    </row>
    <row r="1168" spans="1:14" x14ac:dyDescent="0.3">
      <c r="A1168" s="1" t="str">
        <f>"6_341/2129-11/2024/Б"</f>
        <v>6_341/2129-11/2024/Б</v>
      </c>
      <c r="B1168" s="6">
        <v>45607</v>
      </c>
      <c r="C1168" s="1" t="str">
        <f>"01376"</f>
        <v>01376</v>
      </c>
      <c r="D1168" s="2" t="str">
        <f>"Реєстрація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(СС1)"</f>
        <v>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</v>
      </c>
      <c r="E1168" s="1" t="s">
        <v>20</v>
      </c>
      <c r="F1168" s="1" t="str">
        <f t="shared" si="154"/>
        <v>Центр надання адміністративних послуг Рогатинської міської ради</v>
      </c>
      <c r="G1168" s="1" t="str">
        <f t="shared" si="152"/>
        <v>Фізична особа</v>
      </c>
      <c r="H1168" s="1" t="s">
        <v>20</v>
      </c>
      <c r="I1168" s="1" t="s">
        <v>20</v>
      </c>
      <c r="J1168" s="1" t="str">
        <f t="shared" si="153"/>
        <v>Закрито</v>
      </c>
      <c r="K1168" s="5">
        <v>45608</v>
      </c>
      <c r="L1168" s="1" t="s">
        <v>20</v>
      </c>
      <c r="M1168" s="1" t="s">
        <v>22</v>
      </c>
      <c r="N1168" s="5">
        <v>45608</v>
      </c>
    </row>
    <row r="1169" spans="1:14" x14ac:dyDescent="0.3">
      <c r="A1169" s="1" t="str">
        <f>"2_1941/2129-11/2024/М"</f>
        <v>2_1941/2129-11/2024/М</v>
      </c>
      <c r="B1169" s="6">
        <v>45607</v>
      </c>
      <c r="C1169" s="1" t="str">
        <f t="shared" ref="C1169:C1176" si="155">"00041"</f>
        <v>00041</v>
      </c>
      <c r="D1169" s="2" t="str">
        <f t="shared" ref="D1169:D1176" si="156"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69" s="1" t="s">
        <v>20</v>
      </c>
      <c r="F1169" s="1" t="str">
        <f t="shared" si="154"/>
        <v>Центр надання адміністративних послуг Рогатинської міської ради</v>
      </c>
      <c r="G1169" s="1" t="str">
        <f t="shared" si="152"/>
        <v>Фізична особа</v>
      </c>
      <c r="H1169" s="1" t="s">
        <v>20</v>
      </c>
      <c r="I1169" s="1" t="s">
        <v>20</v>
      </c>
      <c r="J1169" s="1" t="str">
        <f t="shared" si="153"/>
        <v>Закрито</v>
      </c>
      <c r="K1169" s="5">
        <v>45607</v>
      </c>
      <c r="L1169" s="1" t="s">
        <v>20</v>
      </c>
      <c r="M1169" s="1" t="s">
        <v>22</v>
      </c>
      <c r="N1169" s="5">
        <v>45607</v>
      </c>
    </row>
    <row r="1170" spans="1:14" x14ac:dyDescent="0.3">
      <c r="A1170" s="1" t="str">
        <f>"2_1942/2129-11/2024/М"</f>
        <v>2_1942/2129-11/2024/М</v>
      </c>
      <c r="B1170" s="6">
        <v>45607</v>
      </c>
      <c r="C1170" s="1" t="str">
        <f t="shared" si="155"/>
        <v>00041</v>
      </c>
      <c r="D1170" s="2" t="str">
        <f t="shared" si="156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70" s="1" t="s">
        <v>20</v>
      </c>
      <c r="F1170" s="1" t="str">
        <f t="shared" si="154"/>
        <v>Центр надання адміністративних послуг Рогатинської міської ради</v>
      </c>
      <c r="G1170" s="1" t="str">
        <f t="shared" si="152"/>
        <v>Фізична особа</v>
      </c>
      <c r="H1170" s="1" t="s">
        <v>20</v>
      </c>
      <c r="I1170" s="1" t="s">
        <v>20</v>
      </c>
      <c r="J1170" s="1" t="str">
        <f t="shared" si="153"/>
        <v>Закрито</v>
      </c>
      <c r="K1170" s="5">
        <v>45607</v>
      </c>
      <c r="L1170" s="1" t="s">
        <v>20</v>
      </c>
      <c r="M1170" s="1" t="s">
        <v>22</v>
      </c>
      <c r="N1170" s="5">
        <v>45607</v>
      </c>
    </row>
    <row r="1171" spans="1:14" x14ac:dyDescent="0.3">
      <c r="A1171" s="1" t="str">
        <f>"2_1943/2129-11/2024/М"</f>
        <v>2_1943/2129-11/2024/М</v>
      </c>
      <c r="B1171" s="6">
        <v>45607</v>
      </c>
      <c r="C1171" s="1" t="str">
        <f t="shared" si="155"/>
        <v>00041</v>
      </c>
      <c r="D1171" s="2" t="str">
        <f t="shared" si="156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71" s="1" t="s">
        <v>20</v>
      </c>
      <c r="F1171" s="1" t="str">
        <f t="shared" si="154"/>
        <v>Центр надання адміністративних послуг Рогатинської міської ради</v>
      </c>
      <c r="G1171" s="1" t="str">
        <f t="shared" si="152"/>
        <v>Фізична особа</v>
      </c>
      <c r="H1171" s="1" t="s">
        <v>20</v>
      </c>
      <c r="I1171" s="1" t="s">
        <v>20</v>
      </c>
      <c r="J1171" s="1" t="str">
        <f t="shared" si="153"/>
        <v>Закрито</v>
      </c>
      <c r="K1171" s="5">
        <v>45607</v>
      </c>
      <c r="L1171" s="1" t="s">
        <v>20</v>
      </c>
      <c r="M1171" s="1" t="s">
        <v>22</v>
      </c>
      <c r="N1171" s="5">
        <v>45607</v>
      </c>
    </row>
    <row r="1172" spans="1:14" x14ac:dyDescent="0.3">
      <c r="A1172" s="1" t="str">
        <f>"2_1944/2129-11/2024/М"</f>
        <v>2_1944/2129-11/2024/М</v>
      </c>
      <c r="B1172" s="6">
        <v>45607</v>
      </c>
      <c r="C1172" s="1" t="str">
        <f t="shared" si="155"/>
        <v>00041</v>
      </c>
      <c r="D1172" s="2" t="str">
        <f t="shared" si="156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72" s="1" t="s">
        <v>20</v>
      </c>
      <c r="F1172" s="1" t="str">
        <f t="shared" si="154"/>
        <v>Центр надання адміністративних послуг Рогатинської міської ради</v>
      </c>
      <c r="G1172" s="1" t="str">
        <f t="shared" si="152"/>
        <v>Фізична особа</v>
      </c>
      <c r="H1172" s="1" t="s">
        <v>20</v>
      </c>
      <c r="I1172" s="1" t="s">
        <v>20</v>
      </c>
      <c r="J1172" s="1" t="str">
        <f t="shared" si="153"/>
        <v>Закрито</v>
      </c>
      <c r="K1172" s="5">
        <v>45607</v>
      </c>
      <c r="L1172" s="1" t="s">
        <v>20</v>
      </c>
      <c r="M1172" s="1" t="s">
        <v>22</v>
      </c>
      <c r="N1172" s="5">
        <v>45607</v>
      </c>
    </row>
    <row r="1173" spans="1:14" x14ac:dyDescent="0.3">
      <c r="A1173" s="1" t="str">
        <f>"2_1945/2129-11/2024/Б"</f>
        <v>2_1945/2129-11/2024/Б</v>
      </c>
      <c r="B1173" s="6">
        <v>45607</v>
      </c>
      <c r="C1173" s="1" t="str">
        <f t="shared" si="155"/>
        <v>00041</v>
      </c>
      <c r="D1173" s="2" t="str">
        <f t="shared" si="156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73" s="1" t="s">
        <v>20</v>
      </c>
      <c r="F1173" s="1" t="str">
        <f t="shared" si="154"/>
        <v>Центр надання адміністративних послуг Рогатинської міської ради</v>
      </c>
      <c r="G1173" s="1" t="str">
        <f t="shared" si="152"/>
        <v>Фізична особа</v>
      </c>
      <c r="H1173" s="1" t="s">
        <v>20</v>
      </c>
      <c r="I1173" s="1" t="s">
        <v>20</v>
      </c>
      <c r="J1173" s="1" t="str">
        <f t="shared" si="153"/>
        <v>Закрито</v>
      </c>
      <c r="K1173" s="5">
        <v>45607</v>
      </c>
      <c r="L1173" s="1" t="s">
        <v>20</v>
      </c>
      <c r="M1173" s="1" t="s">
        <v>22</v>
      </c>
      <c r="N1173" s="5">
        <v>45607</v>
      </c>
    </row>
    <row r="1174" spans="1:14" x14ac:dyDescent="0.3">
      <c r="A1174" s="1" t="str">
        <f>"2_1946/2129-11/2024/Л"</f>
        <v>2_1946/2129-11/2024/Л</v>
      </c>
      <c r="B1174" s="6">
        <v>45607</v>
      </c>
      <c r="C1174" s="1" t="str">
        <f t="shared" si="155"/>
        <v>00041</v>
      </c>
      <c r="D1174" s="2" t="str">
        <f t="shared" si="156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74" s="1" t="s">
        <v>20</v>
      </c>
      <c r="F1174" s="1" t="str">
        <f t="shared" si="154"/>
        <v>Центр надання адміністративних послуг Рогатинської міської ради</v>
      </c>
      <c r="G1174" s="1" t="str">
        <f t="shared" si="152"/>
        <v>Фізична особа</v>
      </c>
      <c r="H1174" s="1" t="s">
        <v>20</v>
      </c>
      <c r="I1174" s="1" t="s">
        <v>20</v>
      </c>
      <c r="J1174" s="1" t="str">
        <f t="shared" si="153"/>
        <v>Закрито</v>
      </c>
      <c r="K1174" s="5">
        <v>45607</v>
      </c>
      <c r="L1174" s="1" t="s">
        <v>20</v>
      </c>
      <c r="M1174" s="1" t="s">
        <v>22</v>
      </c>
      <c r="N1174" s="5">
        <v>45607</v>
      </c>
    </row>
    <row r="1175" spans="1:14" x14ac:dyDescent="0.3">
      <c r="A1175" s="1" t="str">
        <f>"2_1947/2129-11/2024/М"</f>
        <v>2_1947/2129-11/2024/М</v>
      </c>
      <c r="B1175" s="6">
        <v>45607</v>
      </c>
      <c r="C1175" s="1" t="str">
        <f t="shared" si="155"/>
        <v>00041</v>
      </c>
      <c r="D1175" s="2" t="str">
        <f t="shared" si="156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75" s="1" t="s">
        <v>20</v>
      </c>
      <c r="F1175" s="1" t="str">
        <f t="shared" si="154"/>
        <v>Центр надання адміністративних послуг Рогатинської міської ради</v>
      </c>
      <c r="G1175" s="1" t="str">
        <f t="shared" si="152"/>
        <v>Фізична особа</v>
      </c>
      <c r="H1175" s="1" t="s">
        <v>20</v>
      </c>
      <c r="I1175" s="1" t="s">
        <v>20</v>
      </c>
      <c r="J1175" s="1" t="str">
        <f t="shared" si="153"/>
        <v>Закрито</v>
      </c>
      <c r="K1175" s="5">
        <v>45607</v>
      </c>
      <c r="L1175" s="1" t="s">
        <v>20</v>
      </c>
      <c r="M1175" s="1" t="s">
        <v>22</v>
      </c>
      <c r="N1175" s="5">
        <v>45607</v>
      </c>
    </row>
    <row r="1176" spans="1:14" x14ac:dyDescent="0.3">
      <c r="A1176" s="1" t="str">
        <f>"2_1948/2129-11/2024/М"</f>
        <v>2_1948/2129-11/2024/М</v>
      </c>
      <c r="B1176" s="6">
        <v>45607</v>
      </c>
      <c r="C1176" s="1" t="str">
        <f t="shared" si="155"/>
        <v>00041</v>
      </c>
      <c r="D1176" s="2" t="str">
        <f t="shared" si="156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176" s="1" t="s">
        <v>20</v>
      </c>
      <c r="F1176" s="1" t="str">
        <f t="shared" si="154"/>
        <v>Центр надання адміністративних послуг Рогатинської міської ради</v>
      </c>
      <c r="G1176" s="1" t="str">
        <f t="shared" si="152"/>
        <v>Фізична особа</v>
      </c>
      <c r="H1176" s="1" t="s">
        <v>20</v>
      </c>
      <c r="I1176" s="1" t="s">
        <v>20</v>
      </c>
      <c r="J1176" s="1" t="str">
        <f t="shared" si="153"/>
        <v>Закрито</v>
      </c>
      <c r="K1176" s="5">
        <v>45607</v>
      </c>
      <c r="L1176" s="1" t="s">
        <v>20</v>
      </c>
      <c r="M1176" s="1" t="s">
        <v>22</v>
      </c>
      <c r="N1176" s="5">
        <v>45607</v>
      </c>
    </row>
    <row r="1177" spans="1:14" x14ac:dyDescent="0.3">
      <c r="A1177" s="1" t="str">
        <f>"2_1949/2129-11/2024/Р"</f>
        <v>2_1949/2129-11/2024/Р</v>
      </c>
      <c r="B1177" s="6">
        <v>45607</v>
      </c>
      <c r="C1177" s="1" t="str">
        <f>"00047"</f>
        <v>00047</v>
      </c>
      <c r="D1177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177" s="1" t="s">
        <v>20</v>
      </c>
      <c r="F1177" s="1" t="str">
        <f t="shared" si="154"/>
        <v>Центр надання адміністративних послуг Рогатинської міської ради</v>
      </c>
      <c r="G1177" s="1" t="str">
        <f>"Юридична особа"</f>
        <v>Юридична особа</v>
      </c>
      <c r="H1177" s="1" t="str">
        <f>"Рогатинська міська рада"</f>
        <v>Рогатинська міська рада</v>
      </c>
      <c r="I1177" s="1" t="str">
        <f>"04054323"</f>
        <v>04054323</v>
      </c>
      <c r="J1177" s="1" t="str">
        <f t="shared" si="153"/>
        <v>Закрито</v>
      </c>
      <c r="K1177" s="5">
        <v>45607</v>
      </c>
      <c r="L1177" s="1" t="s">
        <v>20</v>
      </c>
      <c r="M1177" s="1" t="s">
        <v>22</v>
      </c>
      <c r="N1177" s="5">
        <v>45607</v>
      </c>
    </row>
    <row r="1178" spans="1:14" x14ac:dyDescent="0.3">
      <c r="A1178" s="1" t="str">
        <f>"9_1622/04054323-11/2024/Д"</f>
        <v>9_1622/04054323-11/2024/Д</v>
      </c>
      <c r="B1178" s="6">
        <v>45607</v>
      </c>
      <c r="C1178" s="1" t="str">
        <f>"01-1"</f>
        <v>01-1</v>
      </c>
      <c r="D1178" s="2" t="s">
        <v>0</v>
      </c>
      <c r="E1178" s="1" t="str">
        <f>"04054323"</f>
        <v>04054323</v>
      </c>
      <c r="F1178" s="1" t="str">
        <f>"Рогатинська міська рада"</f>
        <v>Рогатинська міська рада</v>
      </c>
      <c r="G1178" s="1" t="str">
        <f t="shared" ref="G1178:G1185" si="157">"Фізична особа"</f>
        <v>Фізична особа</v>
      </c>
      <c r="H1178" s="1" t="s">
        <v>20</v>
      </c>
      <c r="I1178" s="1" t="s">
        <v>20</v>
      </c>
      <c r="J1178" s="1" t="str">
        <f t="shared" si="153"/>
        <v>Закрито</v>
      </c>
      <c r="K1178" s="5">
        <v>45637</v>
      </c>
      <c r="L1178" s="1" t="s">
        <v>20</v>
      </c>
      <c r="M1178" s="1" t="s">
        <v>22</v>
      </c>
      <c r="N1178" s="5">
        <v>45637</v>
      </c>
    </row>
    <row r="1179" spans="1:14" x14ac:dyDescent="0.3">
      <c r="A1179" s="1" t="str">
        <f>"2_1950/2129-11/2024/Н"</f>
        <v>2_1950/2129-11/2024/Н</v>
      </c>
      <c r="B1179" s="6">
        <v>45607</v>
      </c>
      <c r="C1179" s="1" t="str">
        <f>"00047"</f>
        <v>00047</v>
      </c>
      <c r="D1179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179" s="1" t="s">
        <v>20</v>
      </c>
      <c r="F117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79" s="1" t="str">
        <f t="shared" si="157"/>
        <v>Фізична особа</v>
      </c>
      <c r="H1179" s="1" t="s">
        <v>20</v>
      </c>
      <c r="I1179" s="1" t="s">
        <v>20</v>
      </c>
      <c r="J1179" s="1" t="str">
        <f t="shared" si="153"/>
        <v>Закрито</v>
      </c>
      <c r="K1179" s="5">
        <v>45607</v>
      </c>
      <c r="L1179" s="1" t="s">
        <v>20</v>
      </c>
      <c r="M1179" s="1" t="s">
        <v>22</v>
      </c>
      <c r="N1179" s="5">
        <v>45607</v>
      </c>
    </row>
    <row r="1180" spans="1:14" x14ac:dyDescent="0.3">
      <c r="A1180" s="1" t="str">
        <f>"16_664-11/2024/О"</f>
        <v>16_664-11/2024/О</v>
      </c>
      <c r="B1180" s="6">
        <v>45607</v>
      </c>
      <c r="C1180" s="1" t="str">
        <f>"00038"</f>
        <v>00038</v>
      </c>
      <c r="D118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80" s="1" t="s">
        <v>20</v>
      </c>
      <c r="F118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80" s="1" t="str">
        <f t="shared" si="157"/>
        <v>Фізична особа</v>
      </c>
      <c r="H1180" s="1" t="s">
        <v>20</v>
      </c>
      <c r="I1180" s="1" t="s">
        <v>20</v>
      </c>
      <c r="J1180" s="1" t="str">
        <f t="shared" si="153"/>
        <v>Закрито</v>
      </c>
      <c r="K1180" s="5">
        <v>45607</v>
      </c>
      <c r="L1180" s="1" t="s">
        <v>20</v>
      </c>
      <c r="M1180" s="1" t="s">
        <v>22</v>
      </c>
      <c r="N1180" s="5">
        <v>45607</v>
      </c>
    </row>
    <row r="1181" spans="1:14" x14ac:dyDescent="0.3">
      <c r="A1181" s="1" t="str">
        <f>"16_665-11/2024/О"</f>
        <v>16_665-11/2024/О</v>
      </c>
      <c r="B1181" s="6">
        <v>45607</v>
      </c>
      <c r="C1181" s="1" t="str">
        <f>"00064"</f>
        <v>00064</v>
      </c>
      <c r="D1181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181" s="1" t="s">
        <v>20</v>
      </c>
      <c r="F1181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181" s="1" t="str">
        <f t="shared" si="157"/>
        <v>Фізична особа</v>
      </c>
      <c r="H1181" s="1" t="s">
        <v>20</v>
      </c>
      <c r="I1181" s="1" t="s">
        <v>20</v>
      </c>
      <c r="J1181" s="1" t="str">
        <f t="shared" si="153"/>
        <v>Закрито</v>
      </c>
      <c r="K1181" s="5">
        <v>45607</v>
      </c>
      <c r="L1181" s="1" t="s">
        <v>20</v>
      </c>
      <c r="M1181" s="1" t="s">
        <v>22</v>
      </c>
      <c r="N1181" s="5">
        <v>45607</v>
      </c>
    </row>
    <row r="1182" spans="1:14" x14ac:dyDescent="0.3">
      <c r="A1182" s="1" t="str">
        <f>"9_1623/04054323-11/2024/К"</f>
        <v>9_1623/04054323-11/2024/К</v>
      </c>
      <c r="B1182" s="6">
        <v>45607</v>
      </c>
      <c r="C1182" s="1" t="str">
        <f>"01-1"</f>
        <v>01-1</v>
      </c>
      <c r="D1182" s="2" t="s">
        <v>0</v>
      </c>
      <c r="E1182" s="1" t="str">
        <f>"04054323"</f>
        <v>04054323</v>
      </c>
      <c r="F1182" s="1" t="str">
        <f>"Рогатинська міська рада"</f>
        <v>Рогатинська міська рада</v>
      </c>
      <c r="G1182" s="1" t="str">
        <f t="shared" si="157"/>
        <v>Фізична особа</v>
      </c>
      <c r="H1182" s="1" t="s">
        <v>20</v>
      </c>
      <c r="I1182" s="1" t="s">
        <v>20</v>
      </c>
      <c r="J1182" s="1" t="str">
        <f t="shared" si="153"/>
        <v>Закрито</v>
      </c>
      <c r="K1182" s="5">
        <v>45637</v>
      </c>
      <c r="L1182" s="1" t="s">
        <v>20</v>
      </c>
      <c r="M1182" s="1" t="s">
        <v>22</v>
      </c>
      <c r="N1182" s="5">
        <v>45637</v>
      </c>
    </row>
    <row r="1183" spans="1:14" x14ac:dyDescent="0.3">
      <c r="A1183" s="1" t="str">
        <f>"16_666-11/2024/О"</f>
        <v>16_666-11/2024/О</v>
      </c>
      <c r="B1183" s="6">
        <v>45607</v>
      </c>
      <c r="C1183" s="1" t="str">
        <f>"00155"</f>
        <v>00155</v>
      </c>
      <c r="D1183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183" s="1" t="str">
        <f>"03193413"</f>
        <v>03193413</v>
      </c>
      <c r="F118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83" s="1" t="str">
        <f t="shared" si="157"/>
        <v>Фізична особа</v>
      </c>
      <c r="H1183" s="1" t="s">
        <v>20</v>
      </c>
      <c r="I1183" s="1" t="s">
        <v>20</v>
      </c>
      <c r="J1183" s="1" t="str">
        <f t="shared" si="153"/>
        <v>Закрито</v>
      </c>
      <c r="K1183" s="5">
        <v>45652</v>
      </c>
      <c r="L1183" s="1" t="s">
        <v>20</v>
      </c>
      <c r="M1183" s="1" t="s">
        <v>22</v>
      </c>
      <c r="N1183" s="5">
        <v>45652</v>
      </c>
    </row>
    <row r="1184" spans="1:14" x14ac:dyDescent="0.3">
      <c r="A1184" s="1" t="str">
        <f>"16_667-11/2024/Л"</f>
        <v>16_667-11/2024/Л</v>
      </c>
      <c r="B1184" s="6">
        <v>45607</v>
      </c>
      <c r="C1184" s="1" t="str">
        <f>"00064"</f>
        <v>00064</v>
      </c>
      <c r="D1184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184" s="1" t="s">
        <v>20</v>
      </c>
      <c r="F1184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184" s="1" t="str">
        <f t="shared" si="157"/>
        <v>Фізична особа</v>
      </c>
      <c r="H1184" s="1" t="s">
        <v>20</v>
      </c>
      <c r="I1184" s="1" t="s">
        <v>20</v>
      </c>
      <c r="J1184" s="1" t="str">
        <f t="shared" si="153"/>
        <v>Закрито</v>
      </c>
      <c r="K1184" s="5">
        <v>45607</v>
      </c>
      <c r="L1184" s="1" t="s">
        <v>20</v>
      </c>
      <c r="M1184" s="1" t="s">
        <v>22</v>
      </c>
      <c r="N1184" s="5">
        <v>45607</v>
      </c>
    </row>
    <row r="1185" spans="1:14" x14ac:dyDescent="0.3">
      <c r="A1185" s="1" t="str">
        <f>"1_5748/2129-11/2024/Б"</f>
        <v>1_5748/2129-11/2024/Б</v>
      </c>
      <c r="B1185" s="6">
        <v>45607</v>
      </c>
      <c r="C1185" s="1" t="str">
        <f>"33"</f>
        <v>33</v>
      </c>
      <c r="D1185" s="2" t="str">
        <f>"33 Довідки різного характеру"</f>
        <v>33 Довідки різного характеру</v>
      </c>
      <c r="E1185" s="1" t="s">
        <v>20</v>
      </c>
      <c r="F118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85" s="1" t="str">
        <f t="shared" si="157"/>
        <v>Фізична особа</v>
      </c>
      <c r="H1185" s="1" t="s">
        <v>20</v>
      </c>
      <c r="I1185" s="1" t="s">
        <v>20</v>
      </c>
      <c r="J1185" s="1" t="str">
        <f t="shared" si="153"/>
        <v>Закрито</v>
      </c>
      <c r="K1185" s="6">
        <v>45607</v>
      </c>
      <c r="L1185" s="1" t="s">
        <v>20</v>
      </c>
      <c r="M1185" s="1" t="s">
        <v>22</v>
      </c>
      <c r="N1185" s="5">
        <v>45607</v>
      </c>
    </row>
    <row r="1186" spans="1:14" x14ac:dyDescent="0.3">
      <c r="A1186" s="1" t="str">
        <f>"9_1624/04054323-11/2024/Ф"</f>
        <v>9_1624/04054323-11/2024/Ф</v>
      </c>
      <c r="B1186" s="6">
        <v>45607</v>
      </c>
      <c r="C1186" s="1" t="str">
        <f>"11"</f>
        <v>11</v>
      </c>
      <c r="D1186" s="2" t="str">
        <f>"11 Видача рішення про поновлення договору оренди землі"</f>
        <v>11 Видача рішення про поновлення договору оренди землі</v>
      </c>
      <c r="E1186" s="1" t="str">
        <f>"04054323"</f>
        <v>04054323</v>
      </c>
      <c r="F1186" s="1" t="str">
        <f>"Рогатинська міська рада"</f>
        <v>Рогатинська міська рада</v>
      </c>
      <c r="G1186" s="1" t="str">
        <f>"Юридична особа"</f>
        <v>Юридична особа</v>
      </c>
      <c r="H1186" s="1" t="str">
        <f>"Фермерське господарство ""Городьків"""</f>
        <v>Фермерське господарство "Городьків"</v>
      </c>
      <c r="I1186" s="1" t="str">
        <f>"23925657"</f>
        <v>23925657</v>
      </c>
      <c r="J1186" s="1" t="str">
        <f t="shared" si="153"/>
        <v>Закрито</v>
      </c>
      <c r="K1186" s="5">
        <v>45637</v>
      </c>
      <c r="L1186" s="1" t="s">
        <v>20</v>
      </c>
      <c r="M1186" s="1" t="s">
        <v>22</v>
      </c>
      <c r="N1186" s="5">
        <v>45637</v>
      </c>
    </row>
    <row r="1187" spans="1:14" x14ac:dyDescent="0.3">
      <c r="A1187" s="1" t="str">
        <f>"16_668-11/2024/Л"</f>
        <v>16_668-11/2024/Л</v>
      </c>
      <c r="B1187" s="6">
        <v>45607</v>
      </c>
      <c r="C1187" s="1" t="str">
        <f>"00064"</f>
        <v>00064</v>
      </c>
      <c r="D1187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187" s="1" t="s">
        <v>20</v>
      </c>
      <c r="F1187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187" s="1" t="str">
        <f>"Фізична особа"</f>
        <v>Фізична особа</v>
      </c>
      <c r="H1187" s="1" t="s">
        <v>20</v>
      </c>
      <c r="I1187" s="1" t="s">
        <v>20</v>
      </c>
      <c r="J1187" s="1" t="str">
        <f t="shared" si="153"/>
        <v>Закрито</v>
      </c>
      <c r="K1187" s="5">
        <v>45607</v>
      </c>
      <c r="L1187" s="1" t="s">
        <v>20</v>
      </c>
      <c r="M1187" s="1" t="s">
        <v>22</v>
      </c>
      <c r="N1187" s="5">
        <v>45607</v>
      </c>
    </row>
    <row r="1188" spans="1:14" x14ac:dyDescent="0.3">
      <c r="A1188" s="1" t="str">
        <f>"9_1625/04054323-11/2024/Ф"</f>
        <v>9_1625/04054323-11/2024/Ф</v>
      </c>
      <c r="B1188" s="6">
        <v>45607</v>
      </c>
      <c r="C1188" s="1" t="str">
        <f>"11"</f>
        <v>11</v>
      </c>
      <c r="D1188" s="2" t="str">
        <f>"11 Видача рішення про поновлення договору оренди землі"</f>
        <v>11 Видача рішення про поновлення договору оренди землі</v>
      </c>
      <c r="E1188" s="1" t="str">
        <f>"04054323"</f>
        <v>04054323</v>
      </c>
      <c r="F1188" s="1" t="str">
        <f>"Рогатинська міська рада"</f>
        <v>Рогатинська міська рада</v>
      </c>
      <c r="G1188" s="1" t="str">
        <f>"Юридична особа"</f>
        <v>Юридична особа</v>
      </c>
      <c r="H1188" s="1" t="str">
        <f>"Фермерське господарство ""Городьків"""</f>
        <v>Фермерське господарство "Городьків"</v>
      </c>
      <c r="I1188" s="1" t="str">
        <f>"23925657"</f>
        <v>23925657</v>
      </c>
      <c r="J1188" s="1" t="str">
        <f t="shared" si="153"/>
        <v>Закрито</v>
      </c>
      <c r="K1188" s="5">
        <v>45637</v>
      </c>
      <c r="L1188" s="1" t="s">
        <v>20</v>
      </c>
      <c r="M1188" s="1" t="s">
        <v>22</v>
      </c>
      <c r="N1188" s="5">
        <v>45637</v>
      </c>
    </row>
    <row r="1189" spans="1:14" x14ac:dyDescent="0.3">
      <c r="A1189" s="1" t="str">
        <f>"9_1626/04054323-11/2024/Д"</f>
        <v>9_1626/04054323-11/2024/Д</v>
      </c>
      <c r="B1189" s="6">
        <v>45607</v>
      </c>
      <c r="C1189" s="1" t="str">
        <f>"01-1"</f>
        <v>01-1</v>
      </c>
      <c r="D1189" s="2" t="s">
        <v>0</v>
      </c>
      <c r="E1189" s="1" t="str">
        <f>"04054323"</f>
        <v>04054323</v>
      </c>
      <c r="F1189" s="1" t="str">
        <f>"Рогатинська міська рада"</f>
        <v>Рогатинська міська рада</v>
      </c>
      <c r="G1189" s="1" t="str">
        <f t="shared" ref="G1189:G1203" si="158">"Фізична особа"</f>
        <v>Фізична особа</v>
      </c>
      <c r="H1189" s="1" t="s">
        <v>20</v>
      </c>
      <c r="I1189" s="1" t="s">
        <v>20</v>
      </c>
      <c r="J1189" s="1" t="str">
        <f t="shared" si="153"/>
        <v>Закрито</v>
      </c>
      <c r="K1189" s="5">
        <v>45637</v>
      </c>
      <c r="L1189" s="1" t="s">
        <v>20</v>
      </c>
      <c r="M1189" s="1" t="s">
        <v>22</v>
      </c>
      <c r="N1189" s="5">
        <v>45637</v>
      </c>
    </row>
    <row r="1190" spans="1:14" x14ac:dyDescent="0.3">
      <c r="A1190" s="1" t="str">
        <f>"1_5749/2129-11/2024/С"</f>
        <v>1_5749/2129-11/2024/С</v>
      </c>
      <c r="B1190" s="6">
        <v>45607</v>
      </c>
      <c r="C1190" s="1" t="str">
        <f>"00038"</f>
        <v>00038</v>
      </c>
      <c r="D119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90" s="1" t="s">
        <v>20</v>
      </c>
      <c r="F119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90" s="1" t="str">
        <f t="shared" si="158"/>
        <v>Фізична особа</v>
      </c>
      <c r="H1190" s="1" t="s">
        <v>20</v>
      </c>
      <c r="I1190" s="1" t="s">
        <v>20</v>
      </c>
      <c r="J1190" s="1" t="str">
        <f t="shared" si="153"/>
        <v>Закрито</v>
      </c>
      <c r="K1190" s="6">
        <v>45607</v>
      </c>
      <c r="L1190" s="1" t="s">
        <v>20</v>
      </c>
      <c r="M1190" s="1" t="s">
        <v>22</v>
      </c>
      <c r="N1190" s="5">
        <v>45607</v>
      </c>
    </row>
    <row r="1191" spans="1:14" x14ac:dyDescent="0.3">
      <c r="A1191" s="1" t="str">
        <f>"1_5750/2129-11/2024/М"</f>
        <v>1_5750/2129-11/2024/М</v>
      </c>
      <c r="B1191" s="6">
        <v>45607</v>
      </c>
      <c r="C1191" s="1" t="str">
        <f>"00038"</f>
        <v>00038</v>
      </c>
      <c r="D119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91" s="1" t="s">
        <v>20</v>
      </c>
      <c r="F119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91" s="1" t="str">
        <f t="shared" si="158"/>
        <v>Фізична особа</v>
      </c>
      <c r="H1191" s="1" t="s">
        <v>20</v>
      </c>
      <c r="I1191" s="1" t="s">
        <v>20</v>
      </c>
      <c r="J1191" s="1" t="str">
        <f t="shared" si="153"/>
        <v>Закрито</v>
      </c>
      <c r="K1191" s="6">
        <v>45607</v>
      </c>
      <c r="L1191" s="1" t="s">
        <v>20</v>
      </c>
      <c r="M1191" s="1" t="s">
        <v>22</v>
      </c>
      <c r="N1191" s="5">
        <v>45607</v>
      </c>
    </row>
    <row r="1192" spans="1:14" x14ac:dyDescent="0.3">
      <c r="A1192" s="1" t="str">
        <f>"1_5751/2129-11/2024/С"</f>
        <v>1_5751/2129-11/2024/С</v>
      </c>
      <c r="B1192" s="6">
        <v>45607</v>
      </c>
      <c r="C1192" s="1" t="str">
        <f>"00038"</f>
        <v>00038</v>
      </c>
      <c r="D119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92" s="1" t="s">
        <v>20</v>
      </c>
      <c r="F119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92" s="1" t="str">
        <f t="shared" si="158"/>
        <v>Фізична особа</v>
      </c>
      <c r="H1192" s="1" t="s">
        <v>20</v>
      </c>
      <c r="I1192" s="1" t="s">
        <v>20</v>
      </c>
      <c r="J1192" s="1" t="str">
        <f t="shared" si="153"/>
        <v>Закрито</v>
      </c>
      <c r="K1192" s="6">
        <v>45607</v>
      </c>
      <c r="L1192" s="1" t="s">
        <v>20</v>
      </c>
      <c r="M1192" s="1" t="s">
        <v>22</v>
      </c>
      <c r="N1192" s="5">
        <v>45607</v>
      </c>
    </row>
    <row r="1193" spans="1:14" x14ac:dyDescent="0.3">
      <c r="A1193" s="1" t="str">
        <f>"1_5752/2129-11/2024/Б"</f>
        <v>1_5752/2129-11/2024/Б</v>
      </c>
      <c r="B1193" s="6">
        <v>45607</v>
      </c>
      <c r="C1193" s="1" t="str">
        <f>"00038"</f>
        <v>00038</v>
      </c>
      <c r="D119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93" s="1" t="s">
        <v>20</v>
      </c>
      <c r="F119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93" s="1" t="str">
        <f t="shared" si="158"/>
        <v>Фізична особа</v>
      </c>
      <c r="H1193" s="1" t="s">
        <v>20</v>
      </c>
      <c r="I1193" s="1" t="s">
        <v>20</v>
      </c>
      <c r="J1193" s="1" t="str">
        <f t="shared" si="153"/>
        <v>Закрито</v>
      </c>
      <c r="K1193" s="6">
        <v>45607</v>
      </c>
      <c r="L1193" s="1" t="s">
        <v>20</v>
      </c>
      <c r="M1193" s="1" t="s">
        <v>22</v>
      </c>
      <c r="N1193" s="5">
        <v>45607</v>
      </c>
    </row>
    <row r="1194" spans="1:14" x14ac:dyDescent="0.3">
      <c r="A1194" s="1" t="str">
        <f>"8_538-11/2024/Б"</f>
        <v>8_538-11/2024/Б</v>
      </c>
      <c r="B1194" s="6">
        <v>45607</v>
      </c>
      <c r="C1194" s="1" t="str">
        <f>"00133"</f>
        <v>00133</v>
      </c>
      <c r="D1194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194" s="1" t="str">
        <f>"03193413"</f>
        <v>03193413</v>
      </c>
      <c r="F119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194" s="1" t="str">
        <f t="shared" si="158"/>
        <v>Фізична особа</v>
      </c>
      <c r="H1194" s="1" t="s">
        <v>20</v>
      </c>
      <c r="I1194" s="1" t="s">
        <v>20</v>
      </c>
      <c r="J1194" s="1" t="str">
        <f t="shared" si="153"/>
        <v>Закрито</v>
      </c>
      <c r="K1194" s="5">
        <v>45615</v>
      </c>
      <c r="L1194" s="1" t="s">
        <v>20</v>
      </c>
      <c r="M1194" s="1" t="s">
        <v>22</v>
      </c>
      <c r="N1194" s="5">
        <v>45615</v>
      </c>
    </row>
    <row r="1195" spans="1:14" x14ac:dyDescent="0.3">
      <c r="A1195" s="1" t="str">
        <f>"1_5753/2129-11/2024/Б"</f>
        <v>1_5753/2129-11/2024/Б</v>
      </c>
      <c r="B1195" s="6">
        <v>45607</v>
      </c>
      <c r="C1195" s="1" t="str">
        <f>"00038"</f>
        <v>00038</v>
      </c>
      <c r="D119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95" s="1" t="s">
        <v>20</v>
      </c>
      <c r="F119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95" s="1" t="str">
        <f t="shared" si="158"/>
        <v>Фізична особа</v>
      </c>
      <c r="H1195" s="1" t="s">
        <v>20</v>
      </c>
      <c r="I1195" s="1" t="s">
        <v>20</v>
      </c>
      <c r="J1195" s="1" t="str">
        <f t="shared" si="153"/>
        <v>Закрито</v>
      </c>
      <c r="K1195" s="6">
        <v>45607</v>
      </c>
      <c r="L1195" s="1" t="s">
        <v>20</v>
      </c>
      <c r="M1195" s="1" t="s">
        <v>22</v>
      </c>
      <c r="N1195" s="5">
        <v>45607</v>
      </c>
    </row>
    <row r="1196" spans="1:14" x14ac:dyDescent="0.3">
      <c r="A1196" s="1" t="str">
        <f>"1_5754/2129-11/2024/М"</f>
        <v>1_5754/2129-11/2024/М</v>
      </c>
      <c r="B1196" s="6">
        <v>45607</v>
      </c>
      <c r="C1196" s="1" t="str">
        <f>"00038"</f>
        <v>00038</v>
      </c>
      <c r="D119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196" s="1" t="s">
        <v>20</v>
      </c>
      <c r="F119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96" s="1" t="str">
        <f t="shared" si="158"/>
        <v>Фізична особа</v>
      </c>
      <c r="H1196" s="1" t="s">
        <v>20</v>
      </c>
      <c r="I1196" s="1" t="s">
        <v>20</v>
      </c>
      <c r="J1196" s="1" t="str">
        <f t="shared" ref="J1196:J1201" si="159">"Закрито"</f>
        <v>Закрито</v>
      </c>
      <c r="K1196" s="6">
        <v>45607</v>
      </c>
      <c r="L1196" s="1" t="s">
        <v>20</v>
      </c>
      <c r="M1196" s="1" t="s">
        <v>22</v>
      </c>
      <c r="N1196" s="5">
        <v>45607</v>
      </c>
    </row>
    <row r="1197" spans="1:14" x14ac:dyDescent="0.3">
      <c r="A1197" s="1" t="str">
        <f>"9_1627/04054323-11/2024/Ж"</f>
        <v>9_1627/04054323-11/2024/Ж</v>
      </c>
      <c r="B1197" s="6">
        <v>45607</v>
      </c>
      <c r="C1197" s="1" t="str">
        <f>"01"</f>
        <v>01</v>
      </c>
      <c r="D1197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197" s="1" t="str">
        <f>"04054323"</f>
        <v>04054323</v>
      </c>
      <c r="F1197" s="1" t="str">
        <f>"Рогатинська міська рада"</f>
        <v>Рогатинська міська рада</v>
      </c>
      <c r="G1197" s="1" t="str">
        <f t="shared" si="158"/>
        <v>Фізична особа</v>
      </c>
      <c r="H1197" s="1" t="s">
        <v>20</v>
      </c>
      <c r="I1197" s="1" t="s">
        <v>20</v>
      </c>
      <c r="J1197" s="1" t="str">
        <f t="shared" si="159"/>
        <v>Закрито</v>
      </c>
      <c r="K1197" s="5">
        <v>45637</v>
      </c>
      <c r="L1197" s="1" t="s">
        <v>20</v>
      </c>
      <c r="M1197" s="1" t="s">
        <v>22</v>
      </c>
      <c r="N1197" s="5">
        <v>45637</v>
      </c>
    </row>
    <row r="1198" spans="1:14" x14ac:dyDescent="0.3">
      <c r="A1198" s="1" t="str">
        <f>"3_837-11/2024/Д"</f>
        <v>3_837-11/2024/Д</v>
      </c>
      <c r="B1198" s="6">
        <v>45607</v>
      </c>
      <c r="C1198" s="1" t="str">
        <f>"33"</f>
        <v>33</v>
      </c>
      <c r="D1198" s="2" t="str">
        <f>"33 Довідки різного характеру"</f>
        <v>33 Довідки різного характеру</v>
      </c>
      <c r="E1198" s="1" t="s">
        <v>20</v>
      </c>
      <c r="F119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98" s="1" t="str">
        <f t="shared" si="158"/>
        <v>Фізична особа</v>
      </c>
      <c r="H1198" s="1" t="s">
        <v>20</v>
      </c>
      <c r="I1198" s="1" t="s">
        <v>20</v>
      </c>
      <c r="J1198" s="1" t="str">
        <f t="shared" si="159"/>
        <v>Закрито</v>
      </c>
      <c r="K1198" s="5">
        <v>45607</v>
      </c>
      <c r="L1198" s="1" t="s">
        <v>20</v>
      </c>
      <c r="M1198" s="1" t="s">
        <v>22</v>
      </c>
      <c r="N1198" s="5">
        <v>45607</v>
      </c>
    </row>
    <row r="1199" spans="1:14" x14ac:dyDescent="0.3">
      <c r="A1199" s="1" t="str">
        <f>"27_581-11/2024/Т"</f>
        <v>27_581-11/2024/Т</v>
      </c>
      <c r="B1199" s="6">
        <v>45607</v>
      </c>
      <c r="C1199" s="1" t="str">
        <f>"33"</f>
        <v>33</v>
      </c>
      <c r="D1199" s="2" t="str">
        <f>"33 Довідки різного характеру"</f>
        <v>33 Довідки різного характеру</v>
      </c>
      <c r="E1199" s="1" t="s">
        <v>20</v>
      </c>
      <c r="F119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199" s="1" t="str">
        <f t="shared" si="158"/>
        <v>Фізична особа</v>
      </c>
      <c r="H1199" s="1" t="s">
        <v>20</v>
      </c>
      <c r="I1199" s="1" t="s">
        <v>20</v>
      </c>
      <c r="J1199" s="1" t="str">
        <f t="shared" si="159"/>
        <v>Закрито</v>
      </c>
      <c r="K1199" s="5">
        <v>45607</v>
      </c>
      <c r="L1199" s="1" t="s">
        <v>20</v>
      </c>
      <c r="M1199" s="1" t="s">
        <v>22</v>
      </c>
      <c r="N1199" s="5">
        <v>45607</v>
      </c>
    </row>
    <row r="1200" spans="1:14" x14ac:dyDescent="0.3">
      <c r="A1200" s="1" t="str">
        <f>"16_669-11/2024/К"</f>
        <v>16_669-11/2024/К</v>
      </c>
      <c r="B1200" s="6">
        <v>45607</v>
      </c>
      <c r="C1200" s="1" t="str">
        <f>"33"</f>
        <v>33</v>
      </c>
      <c r="D1200" s="2" t="str">
        <f>"33 Довідки різного характеру"</f>
        <v>33 Довідки різного характеру</v>
      </c>
      <c r="E1200" s="1" t="s">
        <v>20</v>
      </c>
      <c r="F120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00" s="1" t="str">
        <f t="shared" si="158"/>
        <v>Фізична особа</v>
      </c>
      <c r="H1200" s="1" t="s">
        <v>20</v>
      </c>
      <c r="I1200" s="1" t="s">
        <v>20</v>
      </c>
      <c r="J1200" s="1" t="str">
        <f t="shared" si="159"/>
        <v>Закрито</v>
      </c>
      <c r="K1200" s="5">
        <v>45607</v>
      </c>
      <c r="L1200" s="1" t="s">
        <v>20</v>
      </c>
      <c r="M1200" s="1" t="s">
        <v>22</v>
      </c>
      <c r="N1200" s="5">
        <v>45607</v>
      </c>
    </row>
    <row r="1201" spans="1:14" x14ac:dyDescent="0.3">
      <c r="A1201" s="1" t="str">
        <f>"3_838-11/2024/Д"</f>
        <v>3_838-11/2024/Д</v>
      </c>
      <c r="B1201" s="6">
        <v>45607</v>
      </c>
      <c r="C1201" s="1" t="str">
        <f>"00155"</f>
        <v>00155</v>
      </c>
      <c r="D1201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201" s="1" t="str">
        <f>"03193413"</f>
        <v>03193413</v>
      </c>
      <c r="F120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01" s="1" t="str">
        <f t="shared" si="158"/>
        <v>Фізична особа</v>
      </c>
      <c r="H1201" s="1" t="s">
        <v>20</v>
      </c>
      <c r="I1201" s="1" t="s">
        <v>20</v>
      </c>
      <c r="J1201" s="1" t="str">
        <f t="shared" si="159"/>
        <v>Закрито</v>
      </c>
      <c r="K1201" s="5">
        <v>45618</v>
      </c>
      <c r="L1201" s="1" t="s">
        <v>20</v>
      </c>
      <c r="M1201" s="1" t="s">
        <v>22</v>
      </c>
      <c r="N1201" s="5">
        <v>45618</v>
      </c>
    </row>
    <row r="1202" spans="1:14" x14ac:dyDescent="0.3">
      <c r="A1202" s="1" t="str">
        <f>"27_582-11/2024/К"</f>
        <v>27_582-11/2024/К</v>
      </c>
      <c r="B1202" s="6">
        <v>45607</v>
      </c>
      <c r="C1202" s="1" t="str">
        <f>"00155"</f>
        <v>00155</v>
      </c>
      <c r="D1202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202" s="1" t="str">
        <f>"03193413"</f>
        <v>03193413</v>
      </c>
      <c r="F120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02" s="1" t="str">
        <f t="shared" si="158"/>
        <v>Фізична особа</v>
      </c>
      <c r="H1202" s="1" t="s">
        <v>20</v>
      </c>
      <c r="I1202" s="1" t="s">
        <v>20</v>
      </c>
      <c r="J1202" s="1" t="str">
        <f>"На обробці в СНАП"</f>
        <v>На обробці в СНАП</v>
      </c>
      <c r="K1202" s="1" t="s">
        <v>20</v>
      </c>
      <c r="L1202" s="1" t="s">
        <v>20</v>
      </c>
      <c r="M1202" s="1" t="s">
        <v>22</v>
      </c>
      <c r="N1202" s="1" t="s">
        <v>20</v>
      </c>
    </row>
    <row r="1203" spans="1:14" x14ac:dyDescent="0.3">
      <c r="A1203" s="1" t="str">
        <f>"23_438-11/2024/Л"</f>
        <v>23_438-11/2024/Л</v>
      </c>
      <c r="B1203" s="6">
        <v>45607</v>
      </c>
      <c r="C1203" s="1" t="str">
        <f>"00144"</f>
        <v>00144</v>
      </c>
      <c r="D1203" s="2" t="str">
        <f>"Призначення державної допомоги при народженні дитини"</f>
        <v>Призначення державної допомоги при народженні дитини</v>
      </c>
      <c r="E1203" s="1" t="str">
        <f>"03193413"</f>
        <v>03193413</v>
      </c>
      <c r="F120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03" s="1" t="str">
        <f t="shared" si="158"/>
        <v>Фізична особа</v>
      </c>
      <c r="H1203" s="1" t="s">
        <v>20</v>
      </c>
      <c r="I1203" s="1" t="s">
        <v>20</v>
      </c>
      <c r="J1203" s="1" t="str">
        <f t="shared" ref="J1203:J1210" si="160">"Закрито"</f>
        <v>Закрито</v>
      </c>
      <c r="K1203" s="5">
        <v>45617</v>
      </c>
      <c r="L1203" s="1" t="s">
        <v>20</v>
      </c>
      <c r="M1203" s="1" t="s">
        <v>22</v>
      </c>
      <c r="N1203" s="5">
        <v>45617</v>
      </c>
    </row>
    <row r="1204" spans="1:14" x14ac:dyDescent="0.3">
      <c r="A1204" s="1" t="str">
        <f>"25_420-11/2024/І"</f>
        <v>25_420-11/2024/І</v>
      </c>
      <c r="B1204" s="6">
        <v>45607</v>
      </c>
      <c r="C1204" s="1" t="str">
        <f>"00037"</f>
        <v>00037</v>
      </c>
      <c r="D1204" s="2" t="str">
        <f>"Зняття з реєстрації місця проживання"</f>
        <v>Зняття з реєстрації місця проживання</v>
      </c>
      <c r="E1204" s="1" t="s">
        <v>20</v>
      </c>
      <c r="F120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04" s="1" t="str">
        <f>"Юридична особа"</f>
        <v>Юридична особа</v>
      </c>
      <c r="H1204" s="1" t="str">
        <f>"Івано-Франківська ТГ"</f>
        <v>Івано-Франківська ТГ</v>
      </c>
      <c r="I1204" s="1" t="s">
        <v>20</v>
      </c>
      <c r="J1204" s="1" t="str">
        <f t="shared" si="160"/>
        <v>Закрито</v>
      </c>
      <c r="K1204" s="5">
        <v>45607</v>
      </c>
      <c r="L1204" s="1" t="s">
        <v>20</v>
      </c>
      <c r="M1204" s="1" t="s">
        <v>22</v>
      </c>
      <c r="N1204" s="5">
        <v>45607</v>
      </c>
    </row>
    <row r="1205" spans="1:14" x14ac:dyDescent="0.3">
      <c r="A1205" s="1" t="str">
        <f>"23_439-11/2024/Л"</f>
        <v>23_439-11/2024/Л</v>
      </c>
      <c r="B1205" s="6">
        <v>45607</v>
      </c>
      <c r="C1205" s="1" t="str">
        <f>"33"</f>
        <v>33</v>
      </c>
      <c r="D1205" s="2" t="str">
        <f>"33 Довідки різного характеру"</f>
        <v>33 Довідки різного характеру</v>
      </c>
      <c r="E1205" s="1" t="s">
        <v>20</v>
      </c>
      <c r="F120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05" s="1" t="str">
        <f>"Фізична особа"</f>
        <v>Фізична особа</v>
      </c>
      <c r="H1205" s="1" t="s">
        <v>20</v>
      </c>
      <c r="I1205" s="1" t="s">
        <v>20</v>
      </c>
      <c r="J1205" s="1" t="str">
        <f t="shared" si="160"/>
        <v>Закрито</v>
      </c>
      <c r="K1205" s="5">
        <v>45607</v>
      </c>
      <c r="L1205" s="1" t="s">
        <v>20</v>
      </c>
      <c r="M1205" s="1" t="s">
        <v>22</v>
      </c>
      <c r="N1205" s="5">
        <v>45607</v>
      </c>
    </row>
    <row r="1206" spans="1:14" x14ac:dyDescent="0.3">
      <c r="A1206" s="1" t="str">
        <f>"25_421-11/2024/І"</f>
        <v>25_421-11/2024/І</v>
      </c>
      <c r="B1206" s="6">
        <v>45607</v>
      </c>
      <c r="C1206" s="1" t="str">
        <f>"00039"</f>
        <v>00039</v>
      </c>
      <c r="D1206" s="2" t="str">
        <f>"Видача довідки про зняття з реєстрації місця проживання"</f>
        <v>Видача довідки про зняття з реєстрації місця проживання</v>
      </c>
      <c r="E1206" s="1" t="s">
        <v>20</v>
      </c>
      <c r="F120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06" s="1" t="str">
        <f>"Юридична особа"</f>
        <v>Юридична особа</v>
      </c>
      <c r="H1206" s="1" t="str">
        <f>"Івано-Франківська ТГ"</f>
        <v>Івано-Франківська ТГ</v>
      </c>
      <c r="I1206" s="1" t="s">
        <v>20</v>
      </c>
      <c r="J1206" s="1" t="str">
        <f t="shared" si="160"/>
        <v>Закрито</v>
      </c>
      <c r="K1206" s="5">
        <v>45607</v>
      </c>
      <c r="L1206" s="1" t="s">
        <v>20</v>
      </c>
      <c r="M1206" s="1" t="s">
        <v>22</v>
      </c>
      <c r="N1206" s="5">
        <v>45607</v>
      </c>
    </row>
    <row r="1207" spans="1:14" x14ac:dyDescent="0.3">
      <c r="A1207" s="1" t="str">
        <f>"12_846-11/2024/К"</f>
        <v>12_846-11/2024/К</v>
      </c>
      <c r="B1207" s="6">
        <v>45607</v>
      </c>
      <c r="C1207" s="1" t="str">
        <f>"00038"</f>
        <v>00038</v>
      </c>
      <c r="D120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07" s="1" t="s">
        <v>20</v>
      </c>
      <c r="F120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07" s="1" t="str">
        <f t="shared" ref="G1207:G1213" si="161">"Фізична особа"</f>
        <v>Фізична особа</v>
      </c>
      <c r="H1207" s="1" t="s">
        <v>20</v>
      </c>
      <c r="I1207" s="1" t="s">
        <v>20</v>
      </c>
      <c r="J1207" s="1" t="str">
        <f t="shared" si="160"/>
        <v>Закрито</v>
      </c>
      <c r="K1207" s="5">
        <v>45607</v>
      </c>
      <c r="L1207" s="1" t="s">
        <v>20</v>
      </c>
      <c r="M1207" s="1" t="s">
        <v>22</v>
      </c>
      <c r="N1207" s="5">
        <v>45607</v>
      </c>
    </row>
    <row r="1208" spans="1:14" x14ac:dyDescent="0.3">
      <c r="A1208" s="1" t="str">
        <f>"25_422-11/2024/Д"</f>
        <v>25_422-11/2024/Д</v>
      </c>
      <c r="B1208" s="6">
        <v>45607</v>
      </c>
      <c r="C1208" s="1" t="str">
        <f>"00064"</f>
        <v>00064</v>
      </c>
      <c r="D1208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208" s="1" t="s">
        <v>20</v>
      </c>
      <c r="F1208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208" s="1" t="str">
        <f t="shared" si="161"/>
        <v>Фізична особа</v>
      </c>
      <c r="H1208" s="1" t="s">
        <v>20</v>
      </c>
      <c r="I1208" s="1" t="s">
        <v>20</v>
      </c>
      <c r="J1208" s="1" t="str">
        <f t="shared" si="160"/>
        <v>Закрито</v>
      </c>
      <c r="K1208" s="5">
        <v>45607</v>
      </c>
      <c r="L1208" s="1" t="s">
        <v>20</v>
      </c>
      <c r="M1208" s="1" t="s">
        <v>22</v>
      </c>
      <c r="N1208" s="5">
        <v>45607</v>
      </c>
    </row>
    <row r="1209" spans="1:14" x14ac:dyDescent="0.3">
      <c r="A1209" s="1" t="str">
        <f>"23_440-11/2024/Ф"</f>
        <v>23_440-11/2024/Ф</v>
      </c>
      <c r="B1209" s="6">
        <v>45607</v>
      </c>
      <c r="C1209" s="1" t="str">
        <f>"33"</f>
        <v>33</v>
      </c>
      <c r="D1209" s="2" t="str">
        <f>"33 Довідки різного характеру"</f>
        <v>33 Довідки різного характеру</v>
      </c>
      <c r="E1209" s="1" t="s">
        <v>20</v>
      </c>
      <c r="F120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09" s="1" t="str">
        <f t="shared" si="161"/>
        <v>Фізична особа</v>
      </c>
      <c r="H1209" s="1" t="s">
        <v>20</v>
      </c>
      <c r="I1209" s="1" t="s">
        <v>20</v>
      </c>
      <c r="J1209" s="1" t="str">
        <f t="shared" si="160"/>
        <v>Закрито</v>
      </c>
      <c r="K1209" s="5">
        <v>45607</v>
      </c>
      <c r="L1209" s="1" t="s">
        <v>20</v>
      </c>
      <c r="M1209" s="1" t="s">
        <v>22</v>
      </c>
      <c r="N1209" s="5">
        <v>45607</v>
      </c>
    </row>
    <row r="1210" spans="1:14" x14ac:dyDescent="0.3">
      <c r="A1210" s="1" t="str">
        <f>"12_847-11/2024/К"</f>
        <v>12_847-11/2024/К</v>
      </c>
      <c r="B1210" s="6">
        <v>45607</v>
      </c>
      <c r="C1210" s="1" t="str">
        <f>"33"</f>
        <v>33</v>
      </c>
      <c r="D1210" s="2" t="str">
        <f>"33 Довідки різного характеру"</f>
        <v>33 Довідки різного характеру</v>
      </c>
      <c r="E1210" s="1" t="s">
        <v>20</v>
      </c>
      <c r="F121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10" s="1" t="str">
        <f t="shared" si="161"/>
        <v>Фізична особа</v>
      </c>
      <c r="H1210" s="1" t="s">
        <v>20</v>
      </c>
      <c r="I1210" s="1" t="s">
        <v>20</v>
      </c>
      <c r="J1210" s="1" t="str">
        <f t="shared" si="160"/>
        <v>Закрито</v>
      </c>
      <c r="K1210" s="5">
        <v>45607</v>
      </c>
      <c r="L1210" s="1" t="s">
        <v>20</v>
      </c>
      <c r="M1210" s="1" t="s">
        <v>22</v>
      </c>
      <c r="N1210" s="5">
        <v>45607</v>
      </c>
    </row>
    <row r="1211" spans="1:14" x14ac:dyDescent="0.3">
      <c r="A1211" s="1" t="str">
        <f>"25_423-11/2024/Д"</f>
        <v>25_423-11/2024/Д</v>
      </c>
      <c r="B1211" s="6">
        <v>45607</v>
      </c>
      <c r="C1211" s="1" t="str">
        <f>"00155"</f>
        <v>00155</v>
      </c>
      <c r="D1211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211" s="1" t="str">
        <f>"03193413"</f>
        <v>03193413</v>
      </c>
      <c r="F121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11" s="1" t="str">
        <f t="shared" si="161"/>
        <v>Фізична особа</v>
      </c>
      <c r="H1211" s="1" t="s">
        <v>20</v>
      </c>
      <c r="I1211" s="1" t="s">
        <v>20</v>
      </c>
      <c r="J1211" s="1" t="str">
        <f>"Результат підготовлено СНАП"</f>
        <v>Результат підготовлено СНАП</v>
      </c>
      <c r="K1211" s="5">
        <v>45614</v>
      </c>
      <c r="L1211" s="1" t="s">
        <v>20</v>
      </c>
      <c r="M1211" s="1" t="s">
        <v>22</v>
      </c>
      <c r="N1211" s="1" t="s">
        <v>20</v>
      </c>
    </row>
    <row r="1212" spans="1:14" x14ac:dyDescent="0.3">
      <c r="A1212" s="1" t="str">
        <f>"12_848-11/2024/К"</f>
        <v>12_848-11/2024/К</v>
      </c>
      <c r="B1212" s="6">
        <v>45607</v>
      </c>
      <c r="C1212" s="1" t="str">
        <f>"00038"</f>
        <v>00038</v>
      </c>
      <c r="D121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12" s="1" t="s">
        <v>20</v>
      </c>
      <c r="F121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12" s="1" t="str">
        <f t="shared" si="161"/>
        <v>Фізична особа</v>
      </c>
      <c r="H1212" s="1" t="s">
        <v>20</v>
      </c>
      <c r="I1212" s="1" t="s">
        <v>20</v>
      </c>
      <c r="J1212" s="1" t="str">
        <f t="shared" ref="J1212:J1231" si="162">"Закрито"</f>
        <v>Закрито</v>
      </c>
      <c r="K1212" s="5">
        <v>45607</v>
      </c>
      <c r="L1212" s="1" t="s">
        <v>20</v>
      </c>
      <c r="M1212" s="1" t="s">
        <v>22</v>
      </c>
      <c r="N1212" s="5">
        <v>45607</v>
      </c>
    </row>
    <row r="1213" spans="1:14" x14ac:dyDescent="0.3">
      <c r="A1213" s="1" t="str">
        <f>"12_849-11/2024/Ч"</f>
        <v>12_849-11/2024/Ч</v>
      </c>
      <c r="B1213" s="6">
        <v>45607</v>
      </c>
      <c r="C1213" s="1" t="str">
        <f>"00038"</f>
        <v>00038</v>
      </c>
      <c r="D121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13" s="1" t="s">
        <v>20</v>
      </c>
      <c r="F12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13" s="1" t="str">
        <f t="shared" si="161"/>
        <v>Фізична особа</v>
      </c>
      <c r="H1213" s="1" t="s">
        <v>20</v>
      </c>
      <c r="I1213" s="1" t="s">
        <v>20</v>
      </c>
      <c r="J1213" s="1" t="str">
        <f t="shared" si="162"/>
        <v>Закрито</v>
      </c>
      <c r="K1213" s="5">
        <v>45607</v>
      </c>
      <c r="L1213" s="1" t="s">
        <v>20</v>
      </c>
      <c r="M1213" s="1" t="s">
        <v>22</v>
      </c>
      <c r="N1213" s="5">
        <v>45607</v>
      </c>
    </row>
    <row r="1214" spans="1:14" x14ac:dyDescent="0.3">
      <c r="A1214" s="1" t="str">
        <f>"25_424-11/2024/Р"</f>
        <v>25_424-11/2024/Р</v>
      </c>
      <c r="B1214" s="6">
        <v>45607</v>
      </c>
      <c r="C1214" s="1" t="str">
        <f>"01297"</f>
        <v>01297</v>
      </c>
      <c r="D1214" s="2" t="str">
        <f>"Видача довідок-характеристик на громадян"</f>
        <v>Видача довідок-характеристик на громадян</v>
      </c>
      <c r="E1214" s="1" t="s">
        <v>20</v>
      </c>
      <c r="F121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14" s="1" t="str">
        <f>"Юридична особа"</f>
        <v>Юридична особа</v>
      </c>
      <c r="H1214" s="1" t="str">
        <f>"Рогатинське відділеня поліції №4"</f>
        <v>Рогатинське відділеня поліції №4</v>
      </c>
      <c r="I1214" s="1" t="s">
        <v>20</v>
      </c>
      <c r="J1214" s="1" t="str">
        <f t="shared" si="162"/>
        <v>Закрито</v>
      </c>
      <c r="K1214" s="5">
        <v>45607</v>
      </c>
      <c r="L1214" s="1" t="s">
        <v>20</v>
      </c>
      <c r="M1214" s="1" t="s">
        <v>22</v>
      </c>
      <c r="N1214" s="5">
        <v>45607</v>
      </c>
    </row>
    <row r="1215" spans="1:14" x14ac:dyDescent="0.3">
      <c r="A1215" s="1" t="str">
        <f>"1_5755/2129-11/2024/Є"</f>
        <v>1_5755/2129-11/2024/Є</v>
      </c>
      <c r="B1215" s="6">
        <v>45607</v>
      </c>
      <c r="C1215" s="1" t="str">
        <f>"01296"</f>
        <v>01296</v>
      </c>
      <c r="D1215" s="2" t="str">
        <f>"Видача довідки про проживання без реєстрації"</f>
        <v>Видача довідки про проживання без реєстрації</v>
      </c>
      <c r="E1215" s="1" t="s">
        <v>20</v>
      </c>
      <c r="F121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15" s="1" t="str">
        <f t="shared" ref="G1215:G1223" si="163">"Фізична особа"</f>
        <v>Фізична особа</v>
      </c>
      <c r="H1215" s="1" t="s">
        <v>20</v>
      </c>
      <c r="I1215" s="1" t="s">
        <v>20</v>
      </c>
      <c r="J1215" s="1" t="str">
        <f t="shared" si="162"/>
        <v>Закрито</v>
      </c>
      <c r="K1215" s="6">
        <v>45607</v>
      </c>
      <c r="L1215" s="1" t="s">
        <v>20</v>
      </c>
      <c r="M1215" s="1" t="s">
        <v>22</v>
      </c>
      <c r="N1215" s="5">
        <v>45607</v>
      </c>
    </row>
    <row r="1216" spans="1:14" x14ac:dyDescent="0.3">
      <c r="A1216" s="1" t="str">
        <f>"27_583-11/2024/К"</f>
        <v>27_583-11/2024/К</v>
      </c>
      <c r="B1216" s="6">
        <v>45607</v>
      </c>
      <c r="C1216" s="1" t="str">
        <f>"00038"</f>
        <v>00038</v>
      </c>
      <c r="D121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16" s="1" t="s">
        <v>20</v>
      </c>
      <c r="F121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16" s="1" t="str">
        <f t="shared" si="163"/>
        <v>Фізична особа</v>
      </c>
      <c r="H1216" s="1" t="s">
        <v>20</v>
      </c>
      <c r="I1216" s="1" t="s">
        <v>20</v>
      </c>
      <c r="J1216" s="1" t="str">
        <f t="shared" si="162"/>
        <v>Закрито</v>
      </c>
      <c r="K1216" s="5">
        <v>45607</v>
      </c>
      <c r="L1216" s="1" t="s">
        <v>20</v>
      </c>
      <c r="M1216" s="1" t="s">
        <v>22</v>
      </c>
      <c r="N1216" s="5">
        <v>45607</v>
      </c>
    </row>
    <row r="1217" spans="1:14" x14ac:dyDescent="0.3">
      <c r="A1217" s="1" t="str">
        <f>"9_1628/04054323-11/2024/Р"</f>
        <v>9_1628/04054323-11/2024/Р</v>
      </c>
      <c r="B1217" s="6">
        <v>45607</v>
      </c>
      <c r="C1217" s="1" t="str">
        <f>"01-1"</f>
        <v>01-1</v>
      </c>
      <c r="D1217" s="2" t="s">
        <v>0</v>
      </c>
      <c r="E1217" s="1" t="str">
        <f>"04054323"</f>
        <v>04054323</v>
      </c>
      <c r="F1217" s="1" t="str">
        <f>"Рогатинська міська рада"</f>
        <v>Рогатинська міська рада</v>
      </c>
      <c r="G1217" s="1" t="str">
        <f t="shared" si="163"/>
        <v>Фізична особа</v>
      </c>
      <c r="H1217" s="1" t="s">
        <v>20</v>
      </c>
      <c r="I1217" s="1" t="s">
        <v>20</v>
      </c>
      <c r="J1217" s="1" t="str">
        <f t="shared" si="162"/>
        <v>Закрито</v>
      </c>
      <c r="K1217" s="5">
        <v>45637</v>
      </c>
      <c r="L1217" s="1" t="s">
        <v>20</v>
      </c>
      <c r="M1217" s="1" t="s">
        <v>22</v>
      </c>
      <c r="N1217" s="5">
        <v>45637</v>
      </c>
    </row>
    <row r="1218" spans="1:14" x14ac:dyDescent="0.3">
      <c r="A1218" s="1" t="str">
        <f>"1_5756/2129-11/2024/Б"</f>
        <v>1_5756/2129-11/2024/Б</v>
      </c>
      <c r="B1218" s="6">
        <v>45607</v>
      </c>
      <c r="C1218" s="1" t="str">
        <f>"00038"</f>
        <v>00038</v>
      </c>
      <c r="D121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18" s="1" t="s">
        <v>20</v>
      </c>
      <c r="F12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18" s="1" t="str">
        <f t="shared" si="163"/>
        <v>Фізична особа</v>
      </c>
      <c r="H1218" s="1" t="s">
        <v>20</v>
      </c>
      <c r="I1218" s="1" t="s">
        <v>20</v>
      </c>
      <c r="J1218" s="1" t="str">
        <f t="shared" si="162"/>
        <v>Закрито</v>
      </c>
      <c r="K1218" s="6">
        <v>45607</v>
      </c>
      <c r="L1218" s="1" t="s">
        <v>20</v>
      </c>
      <c r="M1218" s="1" t="s">
        <v>22</v>
      </c>
      <c r="N1218" s="5">
        <v>45607</v>
      </c>
    </row>
    <row r="1219" spans="1:14" x14ac:dyDescent="0.3">
      <c r="A1219" s="1" t="str">
        <f>"1_5757/2129-11/2024/Г"</f>
        <v>1_5757/2129-11/2024/Г</v>
      </c>
      <c r="B1219" s="6">
        <v>45607</v>
      </c>
      <c r="C1219" s="1" t="str">
        <f>"00038"</f>
        <v>00038</v>
      </c>
      <c r="D121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19" s="1" t="s">
        <v>20</v>
      </c>
      <c r="F121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19" s="1" t="str">
        <f t="shared" si="163"/>
        <v>Фізична особа</v>
      </c>
      <c r="H1219" s="1" t="s">
        <v>20</v>
      </c>
      <c r="I1219" s="1" t="s">
        <v>20</v>
      </c>
      <c r="J1219" s="1" t="str">
        <f t="shared" si="162"/>
        <v>Закрито</v>
      </c>
      <c r="K1219" s="6">
        <v>45607</v>
      </c>
      <c r="L1219" s="1" t="s">
        <v>20</v>
      </c>
      <c r="M1219" s="1" t="s">
        <v>22</v>
      </c>
      <c r="N1219" s="5">
        <v>45607</v>
      </c>
    </row>
    <row r="1220" spans="1:14" x14ac:dyDescent="0.3">
      <c r="A1220" s="1" t="str">
        <f>"21_649-11/2024/Г"</f>
        <v>21_649-11/2024/Г</v>
      </c>
      <c r="B1220" s="6">
        <v>45607</v>
      </c>
      <c r="C1220" s="1" t="str">
        <f>"00155"</f>
        <v>00155</v>
      </c>
      <c r="D1220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220" s="1" t="str">
        <f>"03193413"</f>
        <v>03193413</v>
      </c>
      <c r="F122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20" s="1" t="str">
        <f t="shared" si="163"/>
        <v>Фізична особа</v>
      </c>
      <c r="H1220" s="1" t="s">
        <v>20</v>
      </c>
      <c r="I1220" s="1" t="s">
        <v>20</v>
      </c>
      <c r="J1220" s="1" t="str">
        <f t="shared" si="162"/>
        <v>Закрито</v>
      </c>
      <c r="K1220" s="5">
        <v>45617</v>
      </c>
      <c r="L1220" s="1" t="s">
        <v>20</v>
      </c>
      <c r="M1220" s="1" t="s">
        <v>22</v>
      </c>
      <c r="N1220" s="5">
        <v>45617</v>
      </c>
    </row>
    <row r="1221" spans="1:14" x14ac:dyDescent="0.3">
      <c r="A1221" s="1" t="str">
        <f>"35_508-11/2024/М"</f>
        <v>35_508-11/2024/М</v>
      </c>
      <c r="B1221" s="6">
        <v>45607</v>
      </c>
      <c r="C1221" s="1" t="str">
        <f>"01495"</f>
        <v>01495</v>
      </c>
      <c r="D1221" s="2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1221" s="1" t="s">
        <v>20</v>
      </c>
      <c r="F122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21" s="1" t="str">
        <f t="shared" si="163"/>
        <v>Фізична особа</v>
      </c>
      <c r="H1221" s="1" t="s">
        <v>20</v>
      </c>
      <c r="I1221" s="1" t="s">
        <v>20</v>
      </c>
      <c r="J1221" s="1" t="str">
        <f t="shared" si="162"/>
        <v>Закрито</v>
      </c>
      <c r="K1221" s="5">
        <v>45607</v>
      </c>
      <c r="L1221" s="1" t="s">
        <v>20</v>
      </c>
      <c r="M1221" s="1" t="s">
        <v>22</v>
      </c>
      <c r="N1221" s="5">
        <v>45607</v>
      </c>
    </row>
    <row r="1222" spans="1:14" x14ac:dyDescent="0.3">
      <c r="A1222" s="1" t="str">
        <f>"27_584-11/2024/Щ"</f>
        <v>27_584-11/2024/Щ</v>
      </c>
      <c r="B1222" s="6">
        <v>45607</v>
      </c>
      <c r="C1222" s="1" t="str">
        <f>"00038"</f>
        <v>00038</v>
      </c>
      <c r="D122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22" s="1" t="s">
        <v>20</v>
      </c>
      <c r="F122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22" s="1" t="str">
        <f t="shared" si="163"/>
        <v>Фізична особа</v>
      </c>
      <c r="H1222" s="1" t="s">
        <v>20</v>
      </c>
      <c r="I1222" s="1" t="s">
        <v>20</v>
      </c>
      <c r="J1222" s="1" t="str">
        <f t="shared" si="162"/>
        <v>Закрито</v>
      </c>
      <c r="K1222" s="5">
        <v>45607</v>
      </c>
      <c r="L1222" s="1" t="s">
        <v>20</v>
      </c>
      <c r="M1222" s="1" t="s">
        <v>22</v>
      </c>
      <c r="N1222" s="5">
        <v>45607</v>
      </c>
    </row>
    <row r="1223" spans="1:14" x14ac:dyDescent="0.3">
      <c r="A1223" s="1" t="str">
        <f>"27_585-11/2024/Щ"</f>
        <v>27_585-11/2024/Щ</v>
      </c>
      <c r="B1223" s="6">
        <v>45607</v>
      </c>
      <c r="C1223" s="1" t="str">
        <f>"00038"</f>
        <v>00038</v>
      </c>
      <c r="D122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23" s="1" t="s">
        <v>20</v>
      </c>
      <c r="F12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23" s="1" t="str">
        <f t="shared" si="163"/>
        <v>Фізична особа</v>
      </c>
      <c r="H1223" s="1" t="s">
        <v>20</v>
      </c>
      <c r="I1223" s="1" t="s">
        <v>20</v>
      </c>
      <c r="J1223" s="1" t="str">
        <f t="shared" si="162"/>
        <v>Закрито</v>
      </c>
      <c r="K1223" s="5">
        <v>45607</v>
      </c>
      <c r="L1223" s="1" t="s">
        <v>20</v>
      </c>
      <c r="M1223" s="1" t="s">
        <v>22</v>
      </c>
      <c r="N1223" s="5">
        <v>45607</v>
      </c>
    </row>
    <row r="1224" spans="1:14" x14ac:dyDescent="0.3">
      <c r="A1224" s="1" t="str">
        <f>"1_5758/2129-11/2024/П"</f>
        <v>1_5758/2129-11/2024/П</v>
      </c>
      <c r="B1224" s="6">
        <v>45607</v>
      </c>
      <c r="C1224" s="1" t="str">
        <f>"33"</f>
        <v>33</v>
      </c>
      <c r="D1224" s="2" t="str">
        <f>"33 Довідки різного характеру"</f>
        <v>33 Довідки різного характеру</v>
      </c>
      <c r="E1224" s="1" t="s">
        <v>20</v>
      </c>
      <c r="F12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24" s="1" t="str">
        <f>"Юридична особа"</f>
        <v>Юридична особа</v>
      </c>
      <c r="H1224" s="1" t="str">
        <f>"Приватний нотаріус"</f>
        <v>Приватний нотаріус</v>
      </c>
      <c r="I1224" s="1" t="s">
        <v>20</v>
      </c>
      <c r="J1224" s="1" t="str">
        <f t="shared" si="162"/>
        <v>Закрито</v>
      </c>
      <c r="K1224" s="6">
        <v>45607</v>
      </c>
      <c r="L1224" s="1" t="s">
        <v>20</v>
      </c>
      <c r="M1224" s="1" t="s">
        <v>22</v>
      </c>
      <c r="N1224" s="5">
        <v>45607</v>
      </c>
    </row>
    <row r="1225" spans="1:14" x14ac:dyDescent="0.3">
      <c r="A1225" s="1" t="str">
        <f>"27_586-11/2024/Щ"</f>
        <v>27_586-11/2024/Щ</v>
      </c>
      <c r="B1225" s="6">
        <v>45607</v>
      </c>
      <c r="C1225" s="1" t="str">
        <f>"00038"</f>
        <v>00038</v>
      </c>
      <c r="D122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25" s="1" t="s">
        <v>20</v>
      </c>
      <c r="F122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25" s="1" t="str">
        <f t="shared" ref="G1225:G1250" si="164">"Фізична особа"</f>
        <v>Фізична особа</v>
      </c>
      <c r="H1225" s="1" t="s">
        <v>20</v>
      </c>
      <c r="I1225" s="1" t="s">
        <v>20</v>
      </c>
      <c r="J1225" s="1" t="str">
        <f t="shared" si="162"/>
        <v>Закрито</v>
      </c>
      <c r="K1225" s="5">
        <v>45607</v>
      </c>
      <c r="L1225" s="1" t="s">
        <v>20</v>
      </c>
      <c r="M1225" s="1" t="s">
        <v>22</v>
      </c>
      <c r="N1225" s="5">
        <v>45607</v>
      </c>
    </row>
    <row r="1226" spans="1:14" x14ac:dyDescent="0.3">
      <c r="A1226" s="1" t="str">
        <f>"34_380-11/2024/Ф"</f>
        <v>34_380-11/2024/Ф</v>
      </c>
      <c r="B1226" s="6">
        <v>45607</v>
      </c>
      <c r="C1226" s="1" t="str">
        <f>"00155"</f>
        <v>00155</v>
      </c>
      <c r="D1226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226" s="1" t="str">
        <f>"03193413"</f>
        <v>03193413</v>
      </c>
      <c r="F122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26" s="1" t="str">
        <f t="shared" si="164"/>
        <v>Фізична особа</v>
      </c>
      <c r="H1226" s="1" t="s">
        <v>20</v>
      </c>
      <c r="I1226" s="1" t="s">
        <v>20</v>
      </c>
      <c r="J1226" s="1" t="str">
        <f t="shared" si="162"/>
        <v>Закрито</v>
      </c>
      <c r="K1226" s="5">
        <v>45656</v>
      </c>
      <c r="L1226" s="1" t="s">
        <v>20</v>
      </c>
      <c r="M1226" s="1" t="s">
        <v>22</v>
      </c>
      <c r="N1226" s="5">
        <v>45657</v>
      </c>
    </row>
    <row r="1227" spans="1:14" x14ac:dyDescent="0.3">
      <c r="A1227" s="1" t="str">
        <f>"1_5759/2129-11/2024/Є"</f>
        <v>1_5759/2129-11/2024/Є</v>
      </c>
      <c r="B1227" s="6">
        <v>45607</v>
      </c>
      <c r="C1227" s="1" t="str">
        <f>"01296"</f>
        <v>01296</v>
      </c>
      <c r="D1227" s="2" t="str">
        <f>"Видача довідки про проживання без реєстрації"</f>
        <v>Видача довідки про проживання без реєстрації</v>
      </c>
      <c r="E1227" s="1" t="s">
        <v>20</v>
      </c>
      <c r="F122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27" s="1" t="str">
        <f t="shared" si="164"/>
        <v>Фізична особа</v>
      </c>
      <c r="H1227" s="1" t="s">
        <v>20</v>
      </c>
      <c r="I1227" s="1" t="s">
        <v>20</v>
      </c>
      <c r="J1227" s="1" t="str">
        <f t="shared" si="162"/>
        <v>Закрито</v>
      </c>
      <c r="K1227" s="6">
        <v>45607</v>
      </c>
      <c r="L1227" s="1" t="s">
        <v>20</v>
      </c>
      <c r="M1227" s="1" t="s">
        <v>22</v>
      </c>
      <c r="N1227" s="5">
        <v>45607</v>
      </c>
    </row>
    <row r="1228" spans="1:14" x14ac:dyDescent="0.3">
      <c r="A1228" s="1" t="str">
        <f>"9_553-11/2024/Р"</f>
        <v>9_553-11/2024/Р</v>
      </c>
      <c r="B1228" s="6">
        <v>45607</v>
      </c>
      <c r="C1228" s="1" t="str">
        <f>"00038"</f>
        <v>00038</v>
      </c>
      <c r="D122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28" s="1" t="s">
        <v>20</v>
      </c>
      <c r="F12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28" s="1" t="str">
        <f t="shared" si="164"/>
        <v>Фізична особа</v>
      </c>
      <c r="H1228" s="1" t="s">
        <v>20</v>
      </c>
      <c r="I1228" s="1" t="s">
        <v>20</v>
      </c>
      <c r="J1228" s="1" t="str">
        <f t="shared" si="162"/>
        <v>Закрито</v>
      </c>
      <c r="K1228" s="5">
        <v>45607</v>
      </c>
      <c r="L1228" s="1" t="s">
        <v>20</v>
      </c>
      <c r="M1228" s="1" t="s">
        <v>22</v>
      </c>
      <c r="N1228" s="5">
        <v>45607</v>
      </c>
    </row>
    <row r="1229" spans="1:14" x14ac:dyDescent="0.3">
      <c r="A1229" s="1" t="str">
        <f>"14_966-11/2024/Е"</f>
        <v>14_966-11/2024/Е</v>
      </c>
      <c r="B1229" s="6">
        <v>45607</v>
      </c>
      <c r="C1229" s="1" t="str">
        <f>"00038"</f>
        <v>00038</v>
      </c>
      <c r="D122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29" s="1" t="s">
        <v>20</v>
      </c>
      <c r="F122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29" s="1" t="str">
        <f t="shared" si="164"/>
        <v>Фізична особа</v>
      </c>
      <c r="H1229" s="1" t="s">
        <v>20</v>
      </c>
      <c r="I1229" s="1" t="s">
        <v>20</v>
      </c>
      <c r="J1229" s="1" t="str">
        <f t="shared" si="162"/>
        <v>Закрито</v>
      </c>
      <c r="K1229" s="5">
        <v>45607</v>
      </c>
      <c r="L1229" s="1" t="s">
        <v>20</v>
      </c>
      <c r="M1229" s="1" t="s">
        <v>22</v>
      </c>
      <c r="N1229" s="5">
        <v>45607</v>
      </c>
    </row>
    <row r="1230" spans="1:14" x14ac:dyDescent="0.3">
      <c r="A1230" s="1" t="str">
        <f>"9_554-11/2024/Р"</f>
        <v>9_554-11/2024/Р</v>
      </c>
      <c r="B1230" s="6">
        <v>45607</v>
      </c>
      <c r="C1230" s="1" t="str">
        <f>"33"</f>
        <v>33</v>
      </c>
      <c r="D1230" s="2" t="str">
        <f>"33 Довідки різного характеру"</f>
        <v>33 Довідки різного характеру</v>
      </c>
      <c r="E1230" s="1" t="s">
        <v>20</v>
      </c>
      <c r="F12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30" s="1" t="str">
        <f t="shared" si="164"/>
        <v>Фізична особа</v>
      </c>
      <c r="H1230" s="1" t="s">
        <v>20</v>
      </c>
      <c r="I1230" s="1" t="s">
        <v>20</v>
      </c>
      <c r="J1230" s="1" t="str">
        <f t="shared" si="162"/>
        <v>Закрито</v>
      </c>
      <c r="K1230" s="5">
        <v>45607</v>
      </c>
      <c r="L1230" s="1" t="s">
        <v>20</v>
      </c>
      <c r="M1230" s="1" t="s">
        <v>22</v>
      </c>
      <c r="N1230" s="5">
        <v>45607</v>
      </c>
    </row>
    <row r="1231" spans="1:14" x14ac:dyDescent="0.3">
      <c r="A1231" s="1" t="str">
        <f>"14_967-11/2024/С"</f>
        <v>14_967-11/2024/С</v>
      </c>
      <c r="B1231" s="6">
        <v>45607</v>
      </c>
      <c r="C1231" s="1" t="str">
        <f>"00038"</f>
        <v>00038</v>
      </c>
      <c r="D123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31" s="1" t="s">
        <v>20</v>
      </c>
      <c r="F12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31" s="1" t="str">
        <f t="shared" si="164"/>
        <v>Фізична особа</v>
      </c>
      <c r="H1231" s="1" t="s">
        <v>20</v>
      </c>
      <c r="I1231" s="1" t="s">
        <v>20</v>
      </c>
      <c r="J1231" s="1" t="str">
        <f t="shared" si="162"/>
        <v>Закрито</v>
      </c>
      <c r="K1231" s="5">
        <v>45607</v>
      </c>
      <c r="L1231" s="1" t="s">
        <v>20</v>
      </c>
      <c r="M1231" s="1" t="s">
        <v>22</v>
      </c>
      <c r="N1231" s="5">
        <v>45607</v>
      </c>
    </row>
    <row r="1232" spans="1:14" x14ac:dyDescent="0.3">
      <c r="A1232" s="1" t="str">
        <f>"9_555-11/2024/Р"</f>
        <v>9_555-11/2024/Р</v>
      </c>
      <c r="B1232" s="6">
        <v>45607</v>
      </c>
      <c r="C1232" s="1" t="str">
        <f>"00155"</f>
        <v>00155</v>
      </c>
      <c r="D1232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232" s="1" t="str">
        <f>"03193413"</f>
        <v>03193413</v>
      </c>
      <c r="F123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32" s="1" t="str">
        <f t="shared" si="164"/>
        <v>Фізична особа</v>
      </c>
      <c r="H1232" s="1" t="s">
        <v>20</v>
      </c>
      <c r="I1232" s="1" t="s">
        <v>20</v>
      </c>
      <c r="J1232" s="1" t="str">
        <f>"Заявника сповіщено про результат"</f>
        <v>Заявника сповіщено про результат</v>
      </c>
      <c r="K1232" s="5">
        <v>45653</v>
      </c>
      <c r="L1232" s="1" t="s">
        <v>20</v>
      </c>
      <c r="M1232" s="1" t="s">
        <v>22</v>
      </c>
      <c r="N1232" s="5">
        <v>45653</v>
      </c>
    </row>
    <row r="1233" spans="1:14" x14ac:dyDescent="0.3">
      <c r="A1233" s="1" t="str">
        <f>"14_968-11/2024/Р"</f>
        <v>14_968-11/2024/Р</v>
      </c>
      <c r="B1233" s="6">
        <v>45607</v>
      </c>
      <c r="C1233" s="1" t="str">
        <f>"00038"</f>
        <v>00038</v>
      </c>
      <c r="D123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33" s="1" t="s">
        <v>20</v>
      </c>
      <c r="F123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33" s="1" t="str">
        <f t="shared" si="164"/>
        <v>Фізична особа</v>
      </c>
      <c r="H1233" s="1" t="s">
        <v>20</v>
      </c>
      <c r="I1233" s="1" t="s">
        <v>20</v>
      </c>
      <c r="J1233" s="1" t="str">
        <f>"Закрито"</f>
        <v>Закрито</v>
      </c>
      <c r="K1233" s="5">
        <v>45607</v>
      </c>
      <c r="L1233" s="1" t="s">
        <v>20</v>
      </c>
      <c r="M1233" s="1" t="s">
        <v>22</v>
      </c>
      <c r="N1233" s="5">
        <v>45607</v>
      </c>
    </row>
    <row r="1234" spans="1:14" x14ac:dyDescent="0.3">
      <c r="A1234" s="1" t="str">
        <f>"11_104-11/2024/К"</f>
        <v>11_104-11/2024/К</v>
      </c>
      <c r="B1234" s="6">
        <v>45607</v>
      </c>
      <c r="C1234" s="1" t="str">
        <f>"00155"</f>
        <v>00155</v>
      </c>
      <c r="D1234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234" s="1" t="str">
        <f>"03193413"</f>
        <v>03193413</v>
      </c>
      <c r="F123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34" s="1" t="str">
        <f t="shared" si="164"/>
        <v>Фізична особа</v>
      </c>
      <c r="H1234" s="1" t="s">
        <v>20</v>
      </c>
      <c r="I1234" s="1" t="s">
        <v>20</v>
      </c>
      <c r="J1234" s="1" t="str">
        <f>"Заявника сповіщено про результат"</f>
        <v>Заявника сповіщено про результат</v>
      </c>
      <c r="K1234" s="5">
        <v>45653</v>
      </c>
      <c r="L1234" s="1" t="s">
        <v>20</v>
      </c>
      <c r="M1234" s="1" t="s">
        <v>22</v>
      </c>
      <c r="N1234" s="5">
        <v>45653</v>
      </c>
    </row>
    <row r="1235" spans="1:14" x14ac:dyDescent="0.3">
      <c r="A1235" s="1" t="str">
        <f>"18_623-11/2024/К"</f>
        <v>18_623-11/2024/К</v>
      </c>
      <c r="B1235" s="6">
        <v>45607</v>
      </c>
      <c r="C1235" s="1" t="str">
        <f>"00038"</f>
        <v>00038</v>
      </c>
      <c r="D123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35" s="1" t="s">
        <v>20</v>
      </c>
      <c r="F1235" s="1" t="str">
        <f t="shared" ref="F1235:F1240" si="165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35" s="1" t="str">
        <f t="shared" si="164"/>
        <v>Фізична особа</v>
      </c>
      <c r="H1235" s="1" t="s">
        <v>20</v>
      </c>
      <c r="I1235" s="1" t="s">
        <v>20</v>
      </c>
      <c r="J1235" s="1" t="str">
        <f t="shared" ref="J1235:J1240" si="166">"Закрито"</f>
        <v>Закрито</v>
      </c>
      <c r="K1235" s="5">
        <v>45607</v>
      </c>
      <c r="L1235" s="1" t="s">
        <v>20</v>
      </c>
      <c r="M1235" s="1" t="s">
        <v>22</v>
      </c>
      <c r="N1235" s="5">
        <v>45607</v>
      </c>
    </row>
    <row r="1236" spans="1:14" x14ac:dyDescent="0.3">
      <c r="A1236" s="1" t="str">
        <f>"18_624-11/2024/К"</f>
        <v>18_624-11/2024/К</v>
      </c>
      <c r="B1236" s="6">
        <v>45607</v>
      </c>
      <c r="C1236" s="1" t="str">
        <f>"33"</f>
        <v>33</v>
      </c>
      <c r="D1236" s="2" t="str">
        <f>"33 Довідки різного характеру"</f>
        <v>33 Довідки різного характеру</v>
      </c>
      <c r="E1236" s="1" t="s">
        <v>20</v>
      </c>
      <c r="F1236" s="1" t="str">
        <f t="shared" si="165"/>
        <v>Центр надання адміністративних послуг Рогатинської міської ради</v>
      </c>
      <c r="G1236" s="1" t="str">
        <f t="shared" si="164"/>
        <v>Фізична особа</v>
      </c>
      <c r="H1236" s="1" t="s">
        <v>20</v>
      </c>
      <c r="I1236" s="1" t="s">
        <v>20</v>
      </c>
      <c r="J1236" s="1" t="str">
        <f t="shared" si="166"/>
        <v>Закрито</v>
      </c>
      <c r="K1236" s="5">
        <v>45607</v>
      </c>
      <c r="L1236" s="1" t="s">
        <v>20</v>
      </c>
      <c r="M1236" s="1" t="s">
        <v>22</v>
      </c>
      <c r="N1236" s="5">
        <v>45607</v>
      </c>
    </row>
    <row r="1237" spans="1:14" x14ac:dyDescent="0.3">
      <c r="A1237" s="1" t="str">
        <f>"9_556-11/2024/Б"</f>
        <v>9_556-11/2024/Б</v>
      </c>
      <c r="B1237" s="6">
        <v>45607</v>
      </c>
      <c r="C1237" s="1" t="str">
        <f>"00038"</f>
        <v>00038</v>
      </c>
      <c r="D123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37" s="1" t="s">
        <v>20</v>
      </c>
      <c r="F1237" s="1" t="str">
        <f t="shared" si="165"/>
        <v>Центр надання адміністративних послуг Рогатинської міської ради</v>
      </c>
      <c r="G1237" s="1" t="str">
        <f t="shared" si="164"/>
        <v>Фізична особа</v>
      </c>
      <c r="H1237" s="1" t="s">
        <v>20</v>
      </c>
      <c r="I1237" s="1" t="s">
        <v>20</v>
      </c>
      <c r="J1237" s="1" t="str">
        <f t="shared" si="166"/>
        <v>Закрито</v>
      </c>
      <c r="K1237" s="5">
        <v>45637</v>
      </c>
      <c r="L1237" s="1" t="s">
        <v>20</v>
      </c>
      <c r="M1237" s="1" t="s">
        <v>22</v>
      </c>
      <c r="N1237" s="5">
        <v>45607</v>
      </c>
    </row>
    <row r="1238" spans="1:14" x14ac:dyDescent="0.3">
      <c r="A1238" s="1" t="str">
        <f>"4_946-11/2024/Б"</f>
        <v>4_946-11/2024/Б</v>
      </c>
      <c r="B1238" s="6">
        <v>45607</v>
      </c>
      <c r="C1238" s="1" t="str">
        <f>"00038"</f>
        <v>00038</v>
      </c>
      <c r="D123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38" s="1" t="s">
        <v>20</v>
      </c>
      <c r="F1238" s="1" t="str">
        <f t="shared" si="165"/>
        <v>Центр надання адміністративних послуг Рогатинської міської ради</v>
      </c>
      <c r="G1238" s="1" t="str">
        <f t="shared" si="164"/>
        <v>Фізична особа</v>
      </c>
      <c r="H1238" s="1" t="s">
        <v>20</v>
      </c>
      <c r="I1238" s="1" t="s">
        <v>20</v>
      </c>
      <c r="J1238" s="1" t="str">
        <f t="shared" si="166"/>
        <v>Закрито</v>
      </c>
      <c r="K1238" s="5">
        <v>45607</v>
      </c>
      <c r="L1238" s="1" t="s">
        <v>20</v>
      </c>
      <c r="M1238" s="1" t="s">
        <v>22</v>
      </c>
      <c r="N1238" s="5">
        <v>45607</v>
      </c>
    </row>
    <row r="1239" spans="1:14" x14ac:dyDescent="0.3">
      <c r="A1239" s="1" t="str">
        <f>"4_947-11/2024/П"</f>
        <v>4_947-11/2024/П</v>
      </c>
      <c r="B1239" s="6">
        <v>45607</v>
      </c>
      <c r="C1239" s="1" t="str">
        <f>"01841"</f>
        <v>01841</v>
      </c>
      <c r="D1239" s="2" t="str">
        <f>"Видача довідки про реєстрацію та проживання особи станом на 15.04.1991 року"</f>
        <v>Видача довідки про реєстрацію та проживання особи станом на 15.04.1991 року</v>
      </c>
      <c r="E1239" s="1" t="s">
        <v>20</v>
      </c>
      <c r="F1239" s="1" t="str">
        <f t="shared" si="165"/>
        <v>Центр надання адміністративних послуг Рогатинської міської ради</v>
      </c>
      <c r="G1239" s="1" t="str">
        <f t="shared" si="164"/>
        <v>Фізична особа</v>
      </c>
      <c r="H1239" s="1" t="s">
        <v>20</v>
      </c>
      <c r="I1239" s="1" t="s">
        <v>20</v>
      </c>
      <c r="J1239" s="1" t="str">
        <f t="shared" si="166"/>
        <v>Закрито</v>
      </c>
      <c r="K1239" s="5">
        <v>45607</v>
      </c>
      <c r="L1239" s="1" t="s">
        <v>20</v>
      </c>
      <c r="M1239" s="1" t="s">
        <v>22</v>
      </c>
      <c r="N1239" s="5">
        <v>45607</v>
      </c>
    </row>
    <row r="1240" spans="1:14" x14ac:dyDescent="0.3">
      <c r="A1240" s="1" t="str">
        <f>"4_948-11/2024/М"</f>
        <v>4_948-11/2024/М</v>
      </c>
      <c r="B1240" s="6">
        <v>45607</v>
      </c>
      <c r="C1240" s="1" t="str">
        <f>"33"</f>
        <v>33</v>
      </c>
      <c r="D1240" s="2" t="str">
        <f>"33 Довідки різного характеру"</f>
        <v>33 Довідки різного характеру</v>
      </c>
      <c r="E1240" s="1" t="s">
        <v>20</v>
      </c>
      <c r="F1240" s="1" t="str">
        <f t="shared" si="165"/>
        <v>Центр надання адміністративних послуг Рогатинської міської ради</v>
      </c>
      <c r="G1240" s="1" t="str">
        <f t="shared" si="164"/>
        <v>Фізична особа</v>
      </c>
      <c r="H1240" s="1" t="s">
        <v>20</v>
      </c>
      <c r="I1240" s="1" t="s">
        <v>20</v>
      </c>
      <c r="J1240" s="1" t="str">
        <f t="shared" si="166"/>
        <v>Закрито</v>
      </c>
      <c r="K1240" s="5">
        <v>45607</v>
      </c>
      <c r="L1240" s="1" t="s">
        <v>20</v>
      </c>
      <c r="M1240" s="1" t="s">
        <v>22</v>
      </c>
      <c r="N1240" s="5">
        <v>45607</v>
      </c>
    </row>
    <row r="1241" spans="1:14" x14ac:dyDescent="0.3">
      <c r="A1241" s="1" t="str">
        <f>"4_949-11/2024/М"</f>
        <v>4_949-11/2024/М</v>
      </c>
      <c r="B1241" s="6">
        <v>45607</v>
      </c>
      <c r="C1241" s="1" t="str">
        <f>"00155"</f>
        <v>00155</v>
      </c>
      <c r="D1241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241" s="1" t="str">
        <f>"03193413"</f>
        <v>03193413</v>
      </c>
      <c r="F124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41" s="1" t="str">
        <f t="shared" si="164"/>
        <v>Фізична особа</v>
      </c>
      <c r="H1241" s="1" t="s">
        <v>20</v>
      </c>
      <c r="I1241" s="1" t="s">
        <v>20</v>
      </c>
      <c r="J1241" s="1" t="str">
        <f>"Заявника сповіщено про результат"</f>
        <v>Заявника сповіщено про результат</v>
      </c>
      <c r="K1241" s="5">
        <v>45617</v>
      </c>
      <c r="L1241" s="1" t="s">
        <v>20</v>
      </c>
      <c r="M1241" s="1" t="s">
        <v>22</v>
      </c>
      <c r="N1241" s="5">
        <v>45617</v>
      </c>
    </row>
    <row r="1242" spans="1:14" x14ac:dyDescent="0.3">
      <c r="A1242" s="1" t="str">
        <f>"4_950-11/2024/Б"</f>
        <v>4_950-11/2024/Б</v>
      </c>
      <c r="B1242" s="6">
        <v>45607</v>
      </c>
      <c r="C1242" s="1" t="str">
        <f>"33"</f>
        <v>33</v>
      </c>
      <c r="D1242" s="2" t="str">
        <f>"33 Довідки різного характеру"</f>
        <v>33 Довідки різного характеру</v>
      </c>
      <c r="E1242" s="1" t="s">
        <v>20</v>
      </c>
      <c r="F1242" s="1" t="str">
        <f t="shared" ref="F1242:F1248" si="167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42" s="1" t="str">
        <f t="shared" si="164"/>
        <v>Фізична особа</v>
      </c>
      <c r="H1242" s="1" t="s">
        <v>20</v>
      </c>
      <c r="I1242" s="1" t="s">
        <v>20</v>
      </c>
      <c r="J1242" s="1" t="str">
        <f t="shared" ref="J1242:J1253" si="168">"Закрито"</f>
        <v>Закрито</v>
      </c>
      <c r="K1242" s="5">
        <v>45607</v>
      </c>
      <c r="L1242" s="1" t="s">
        <v>20</v>
      </c>
      <c r="M1242" s="1" t="s">
        <v>22</v>
      </c>
      <c r="N1242" s="5">
        <v>45607</v>
      </c>
    </row>
    <row r="1243" spans="1:14" x14ac:dyDescent="0.3">
      <c r="A1243" s="1" t="str">
        <f>"4_951-11/2024/Д"</f>
        <v>4_951-11/2024/Д</v>
      </c>
      <c r="B1243" s="6">
        <v>45607</v>
      </c>
      <c r="C1243" s="1" t="str">
        <f t="shared" ref="C1243:C1248" si="169">"00038"</f>
        <v>00038</v>
      </c>
      <c r="D1243" s="2" t="str">
        <f t="shared" ref="D1243:D1248" si="170"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43" s="1" t="s">
        <v>20</v>
      </c>
      <c r="F1243" s="1" t="str">
        <f t="shared" si="167"/>
        <v>Центр надання адміністративних послуг Рогатинської міської ради</v>
      </c>
      <c r="G1243" s="1" t="str">
        <f t="shared" si="164"/>
        <v>Фізична особа</v>
      </c>
      <c r="H1243" s="1" t="s">
        <v>20</v>
      </c>
      <c r="I1243" s="1" t="s">
        <v>20</v>
      </c>
      <c r="J1243" s="1" t="str">
        <f t="shared" si="168"/>
        <v>Закрито</v>
      </c>
      <c r="K1243" s="5">
        <v>45616</v>
      </c>
      <c r="L1243" s="1" t="s">
        <v>20</v>
      </c>
      <c r="M1243" s="1" t="s">
        <v>22</v>
      </c>
      <c r="N1243" s="5">
        <v>45616</v>
      </c>
    </row>
    <row r="1244" spans="1:14" x14ac:dyDescent="0.3">
      <c r="A1244" s="1" t="str">
        <f>"4_952-11/2024/Д"</f>
        <v>4_952-11/2024/Д</v>
      </c>
      <c r="B1244" s="6">
        <v>45607</v>
      </c>
      <c r="C1244" s="1" t="str">
        <f t="shared" si="169"/>
        <v>00038</v>
      </c>
      <c r="D1244" s="2" t="str">
        <f t="shared" si="170"/>
        <v>Видача довідки про реєстрацію місця проживання або місця перебування особи</v>
      </c>
      <c r="E1244" s="1" t="s">
        <v>20</v>
      </c>
      <c r="F1244" s="1" t="str">
        <f t="shared" si="167"/>
        <v>Центр надання адміністративних послуг Рогатинської міської ради</v>
      </c>
      <c r="G1244" s="1" t="str">
        <f t="shared" si="164"/>
        <v>Фізична особа</v>
      </c>
      <c r="H1244" s="1" t="s">
        <v>20</v>
      </c>
      <c r="I1244" s="1" t="s">
        <v>20</v>
      </c>
      <c r="J1244" s="1" t="str">
        <f t="shared" si="168"/>
        <v>Закрито</v>
      </c>
      <c r="K1244" s="5">
        <v>45607</v>
      </c>
      <c r="L1244" s="1" t="s">
        <v>20</v>
      </c>
      <c r="M1244" s="1" t="s">
        <v>22</v>
      </c>
      <c r="N1244" s="5">
        <v>45607</v>
      </c>
    </row>
    <row r="1245" spans="1:14" x14ac:dyDescent="0.3">
      <c r="A1245" s="1" t="str">
        <f>"4_953-11/2024/Л"</f>
        <v>4_953-11/2024/Л</v>
      </c>
      <c r="B1245" s="6">
        <v>45607</v>
      </c>
      <c r="C1245" s="1" t="str">
        <f t="shared" si="169"/>
        <v>00038</v>
      </c>
      <c r="D1245" s="2" t="str">
        <f t="shared" si="170"/>
        <v>Видача довідки про реєстрацію місця проживання або місця перебування особи</v>
      </c>
      <c r="E1245" s="1" t="s">
        <v>20</v>
      </c>
      <c r="F1245" s="1" t="str">
        <f t="shared" si="167"/>
        <v>Центр надання адміністративних послуг Рогатинської міської ради</v>
      </c>
      <c r="G1245" s="1" t="str">
        <f t="shared" si="164"/>
        <v>Фізична особа</v>
      </c>
      <c r="H1245" s="1" t="s">
        <v>20</v>
      </c>
      <c r="I1245" s="1" t="s">
        <v>20</v>
      </c>
      <c r="J1245" s="1" t="str">
        <f t="shared" si="168"/>
        <v>Закрито</v>
      </c>
      <c r="K1245" s="5">
        <v>45607</v>
      </c>
      <c r="L1245" s="1" t="s">
        <v>20</v>
      </c>
      <c r="M1245" s="1" t="s">
        <v>22</v>
      </c>
      <c r="N1245" s="5">
        <v>45607</v>
      </c>
    </row>
    <row r="1246" spans="1:14" x14ac:dyDescent="0.3">
      <c r="A1246" s="1" t="str">
        <f>"4_954-11/2024/Л"</f>
        <v>4_954-11/2024/Л</v>
      </c>
      <c r="B1246" s="6">
        <v>45607</v>
      </c>
      <c r="C1246" s="1" t="str">
        <f t="shared" si="169"/>
        <v>00038</v>
      </c>
      <c r="D1246" s="2" t="str">
        <f t="shared" si="170"/>
        <v>Видача довідки про реєстрацію місця проживання або місця перебування особи</v>
      </c>
      <c r="E1246" s="1" t="s">
        <v>20</v>
      </c>
      <c r="F1246" s="1" t="str">
        <f t="shared" si="167"/>
        <v>Центр надання адміністративних послуг Рогатинської міської ради</v>
      </c>
      <c r="G1246" s="1" t="str">
        <f t="shared" si="164"/>
        <v>Фізична особа</v>
      </c>
      <c r="H1246" s="1" t="s">
        <v>20</v>
      </c>
      <c r="I1246" s="1" t="s">
        <v>20</v>
      </c>
      <c r="J1246" s="1" t="str">
        <f t="shared" si="168"/>
        <v>Закрито</v>
      </c>
      <c r="K1246" s="5">
        <v>45607</v>
      </c>
      <c r="L1246" s="1" t="s">
        <v>20</v>
      </c>
      <c r="M1246" s="1" t="s">
        <v>22</v>
      </c>
      <c r="N1246" s="5">
        <v>45607</v>
      </c>
    </row>
    <row r="1247" spans="1:14" x14ac:dyDescent="0.3">
      <c r="A1247" s="1" t="str">
        <f>"4_955-11/2024/С"</f>
        <v>4_955-11/2024/С</v>
      </c>
      <c r="B1247" s="6">
        <v>45607</v>
      </c>
      <c r="C1247" s="1" t="str">
        <f t="shared" si="169"/>
        <v>00038</v>
      </c>
      <c r="D1247" s="2" t="str">
        <f t="shared" si="170"/>
        <v>Видача довідки про реєстрацію місця проживання або місця перебування особи</v>
      </c>
      <c r="E1247" s="1" t="s">
        <v>20</v>
      </c>
      <c r="F1247" s="1" t="str">
        <f t="shared" si="167"/>
        <v>Центр надання адміністративних послуг Рогатинської міської ради</v>
      </c>
      <c r="G1247" s="1" t="str">
        <f t="shared" si="164"/>
        <v>Фізична особа</v>
      </c>
      <c r="H1247" s="1" t="s">
        <v>20</v>
      </c>
      <c r="I1247" s="1" t="s">
        <v>20</v>
      </c>
      <c r="J1247" s="1" t="str">
        <f t="shared" si="168"/>
        <v>Закрито</v>
      </c>
      <c r="K1247" s="5">
        <v>45607</v>
      </c>
      <c r="L1247" s="1" t="s">
        <v>20</v>
      </c>
      <c r="M1247" s="1" t="s">
        <v>22</v>
      </c>
      <c r="N1247" s="5">
        <v>45607</v>
      </c>
    </row>
    <row r="1248" spans="1:14" x14ac:dyDescent="0.3">
      <c r="A1248" s="1" t="str">
        <f>"4_956-11/2024/Л"</f>
        <v>4_956-11/2024/Л</v>
      </c>
      <c r="B1248" s="6">
        <v>45607</v>
      </c>
      <c r="C1248" s="1" t="str">
        <f t="shared" si="169"/>
        <v>00038</v>
      </c>
      <c r="D1248" s="2" t="str">
        <f t="shared" si="170"/>
        <v>Видача довідки про реєстрацію місця проживання або місця перебування особи</v>
      </c>
      <c r="E1248" s="1" t="s">
        <v>20</v>
      </c>
      <c r="F1248" s="1" t="str">
        <f t="shared" si="167"/>
        <v>Центр надання адміністративних послуг Рогатинської міської ради</v>
      </c>
      <c r="G1248" s="1" t="str">
        <f t="shared" si="164"/>
        <v>Фізична особа</v>
      </c>
      <c r="H1248" s="1" t="s">
        <v>20</v>
      </c>
      <c r="I1248" s="1" t="s">
        <v>20</v>
      </c>
      <c r="J1248" s="1" t="str">
        <f t="shared" si="168"/>
        <v>Закрито</v>
      </c>
      <c r="K1248" s="5">
        <v>45607</v>
      </c>
      <c r="L1248" s="1" t="s">
        <v>20</v>
      </c>
      <c r="M1248" s="1" t="s">
        <v>22</v>
      </c>
      <c r="N1248" s="5">
        <v>45607</v>
      </c>
    </row>
    <row r="1249" spans="1:14" x14ac:dyDescent="0.3">
      <c r="A1249" s="1" t="str">
        <f>"22_539-11/2024/М"</f>
        <v>22_539-11/2024/М</v>
      </c>
      <c r="B1249" s="6">
        <v>45607</v>
      </c>
      <c r="C1249" s="1" t="str">
        <f>"00064"</f>
        <v>00064</v>
      </c>
      <c r="D1249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249" s="1" t="s">
        <v>20</v>
      </c>
      <c r="F1249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249" s="1" t="str">
        <f t="shared" si="164"/>
        <v>Фізична особа</v>
      </c>
      <c r="H1249" s="1" t="s">
        <v>20</v>
      </c>
      <c r="I1249" s="1" t="s">
        <v>20</v>
      </c>
      <c r="J1249" s="1" t="str">
        <f t="shared" si="168"/>
        <v>Закрито</v>
      </c>
      <c r="K1249" s="5">
        <v>45607</v>
      </c>
      <c r="L1249" s="1" t="s">
        <v>20</v>
      </c>
      <c r="M1249" s="1" t="s">
        <v>22</v>
      </c>
      <c r="N1249" s="5">
        <v>45607</v>
      </c>
    </row>
    <row r="1250" spans="1:14" x14ac:dyDescent="0.3">
      <c r="A1250" s="1" t="str">
        <f>"22_540-11/2024/М"</f>
        <v>22_540-11/2024/М</v>
      </c>
      <c r="B1250" s="6">
        <v>45607</v>
      </c>
      <c r="C1250" s="1" t="str">
        <f>"00155"</f>
        <v>00155</v>
      </c>
      <c r="D1250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250" s="1" t="str">
        <f>"03193413"</f>
        <v>03193413</v>
      </c>
      <c r="F125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50" s="1" t="str">
        <f t="shared" si="164"/>
        <v>Фізична особа</v>
      </c>
      <c r="H1250" s="1" t="s">
        <v>20</v>
      </c>
      <c r="I1250" s="1" t="s">
        <v>20</v>
      </c>
      <c r="J1250" s="1" t="str">
        <f t="shared" si="168"/>
        <v>Закрито</v>
      </c>
      <c r="K1250" s="5">
        <v>45618</v>
      </c>
      <c r="L1250" s="1" t="s">
        <v>20</v>
      </c>
      <c r="M1250" s="1" t="s">
        <v>22</v>
      </c>
      <c r="N1250" s="5">
        <v>45618</v>
      </c>
    </row>
    <row r="1251" spans="1:14" x14ac:dyDescent="0.3">
      <c r="A1251" s="1" t="str">
        <f>"1_5760/2129-11/2024/Р"</f>
        <v>1_5760/2129-11/2024/Р</v>
      </c>
      <c r="B1251" s="6">
        <v>45608</v>
      </c>
      <c r="C1251" s="1" t="str">
        <f>"33"</f>
        <v>33</v>
      </c>
      <c r="D1251" s="2" t="str">
        <f>"33 Довідки різного характеру"</f>
        <v>33 Довідки різного характеру</v>
      </c>
      <c r="E1251" s="1" t="s">
        <v>20</v>
      </c>
      <c r="F12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51" s="1" t="str">
        <f>"Юридична особа"</f>
        <v>Юридична особа</v>
      </c>
      <c r="H1251" s="1" t="str">
        <f>"Рогатинський районний суд"</f>
        <v>Рогатинський районний суд</v>
      </c>
      <c r="I1251" s="1" t="s">
        <v>20</v>
      </c>
      <c r="J1251" s="1" t="str">
        <f t="shared" si="168"/>
        <v>Закрито</v>
      </c>
      <c r="K1251" s="6">
        <v>45608</v>
      </c>
      <c r="L1251" s="1" t="s">
        <v>20</v>
      </c>
      <c r="M1251" s="1" t="s">
        <v>22</v>
      </c>
      <c r="N1251" s="5">
        <v>45608</v>
      </c>
    </row>
    <row r="1252" spans="1:14" x14ac:dyDescent="0.3">
      <c r="A1252" s="1" t="str">
        <f>"1_5761/2129-11/2024/Р"</f>
        <v>1_5761/2129-11/2024/Р</v>
      </c>
      <c r="B1252" s="6">
        <v>45608</v>
      </c>
      <c r="C1252" s="1" t="str">
        <f>"33"</f>
        <v>33</v>
      </c>
      <c r="D1252" s="2" t="str">
        <f>"33 Довідки різного характеру"</f>
        <v>33 Довідки різного характеру</v>
      </c>
      <c r="E1252" s="1" t="s">
        <v>20</v>
      </c>
      <c r="F12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52" s="1" t="str">
        <f>"Юридична особа"</f>
        <v>Юридична особа</v>
      </c>
      <c r="H1252" s="1" t="str">
        <f>"Рогатинський районний суд"</f>
        <v>Рогатинський районний суд</v>
      </c>
      <c r="I1252" s="1" t="s">
        <v>20</v>
      </c>
      <c r="J1252" s="1" t="str">
        <f t="shared" si="168"/>
        <v>Закрито</v>
      </c>
      <c r="K1252" s="6">
        <v>45608</v>
      </c>
      <c r="L1252" s="1" t="s">
        <v>20</v>
      </c>
      <c r="M1252" s="1" t="s">
        <v>22</v>
      </c>
      <c r="N1252" s="5">
        <v>45608</v>
      </c>
    </row>
    <row r="1253" spans="1:14" x14ac:dyDescent="0.3">
      <c r="A1253" s="1" t="str">
        <f>"1_5762/2129-11/2024/П"</f>
        <v>1_5762/2129-11/2024/П</v>
      </c>
      <c r="B1253" s="6">
        <v>45608</v>
      </c>
      <c r="C1253" s="1" t="str">
        <f>"33"</f>
        <v>33</v>
      </c>
      <c r="D1253" s="2" t="str">
        <f>"33 Довідки різного характеру"</f>
        <v>33 Довідки різного характеру</v>
      </c>
      <c r="E1253" s="1" t="s">
        <v>20</v>
      </c>
      <c r="F12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53" s="1" t="str">
        <f>"Юридична особа"</f>
        <v>Юридична особа</v>
      </c>
      <c r="H1253" s="1" t="str">
        <f>"Приватний нотаріус"</f>
        <v>Приватний нотаріус</v>
      </c>
      <c r="I1253" s="1" t="s">
        <v>20</v>
      </c>
      <c r="J1253" s="1" t="str">
        <f t="shared" si="168"/>
        <v>Закрито</v>
      </c>
      <c r="K1253" s="6">
        <v>45608</v>
      </c>
      <c r="L1253" s="1" t="s">
        <v>20</v>
      </c>
      <c r="M1253" s="1" t="s">
        <v>22</v>
      </c>
      <c r="N1253" s="5">
        <v>45608</v>
      </c>
    </row>
    <row r="1254" spans="1:14" x14ac:dyDescent="0.3">
      <c r="A1254" s="1" t="str">
        <f>"3_1356/4-11/2024/Л"</f>
        <v>3_1356/4-11/2024/Л</v>
      </c>
      <c r="B1254" s="6">
        <v>45608</v>
      </c>
      <c r="C1254" s="1" t="str">
        <f>"00060"</f>
        <v>00060</v>
      </c>
      <c r="D1254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254" s="1" t="s">
        <v>20</v>
      </c>
      <c r="F1254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254" s="1" t="str">
        <f t="shared" ref="G1254:G1261" si="171">"Фізична особа"</f>
        <v>Фізична особа</v>
      </c>
      <c r="H1254" s="1" t="s">
        <v>20</v>
      </c>
      <c r="I1254" s="1" t="s">
        <v>20</v>
      </c>
      <c r="J1254" s="1" t="str">
        <f>"Результат підготовлено СНАП"</f>
        <v>Результат підготовлено СНАП</v>
      </c>
      <c r="K1254" s="5">
        <v>45614</v>
      </c>
      <c r="L1254" s="1" t="str">
        <f>"151.4"</f>
        <v>151.4</v>
      </c>
      <c r="M1254" s="1" t="s">
        <v>22</v>
      </c>
      <c r="N1254" s="1" t="s">
        <v>20</v>
      </c>
    </row>
    <row r="1255" spans="1:14" x14ac:dyDescent="0.3">
      <c r="A1255" s="1" t="str">
        <f>"3_1357/4-11/2024/Л"</f>
        <v>3_1357/4-11/2024/Л</v>
      </c>
      <c r="B1255" s="6">
        <v>45608</v>
      </c>
      <c r="C1255" s="1" t="str">
        <f>"00060"</f>
        <v>00060</v>
      </c>
      <c r="D1255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255" s="1" t="s">
        <v>20</v>
      </c>
      <c r="F1255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255" s="1" t="str">
        <f t="shared" si="171"/>
        <v>Фізична особа</v>
      </c>
      <c r="H1255" s="1" t="s">
        <v>20</v>
      </c>
      <c r="I1255" s="1" t="s">
        <v>20</v>
      </c>
      <c r="J1255" s="1" t="str">
        <f>"Результат підготовлено СНАП"</f>
        <v>Результат підготовлено СНАП</v>
      </c>
      <c r="K1255" s="5">
        <v>45614</v>
      </c>
      <c r="L1255" s="1" t="str">
        <f>"151.4"</f>
        <v>151.4</v>
      </c>
      <c r="M1255" s="1" t="s">
        <v>22</v>
      </c>
      <c r="N1255" s="1" t="s">
        <v>20</v>
      </c>
    </row>
    <row r="1256" spans="1:14" x14ac:dyDescent="0.3">
      <c r="A1256" s="1" t="str">
        <f>"1_5763/2129-11/2024/Г"</f>
        <v>1_5763/2129-11/2024/Г</v>
      </c>
      <c r="B1256" s="6">
        <v>45608</v>
      </c>
      <c r="C1256" s="1" t="str">
        <f>"01217"</f>
        <v>01217</v>
      </c>
      <c r="D1256" s="2" t="str">
        <f>"Реєстрація місця проживання дитини до 14 років"</f>
        <v>Реєстрація місця проживання дитини до 14 років</v>
      </c>
      <c r="E1256" s="1" t="s">
        <v>20</v>
      </c>
      <c r="F125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56" s="1" t="str">
        <f t="shared" si="171"/>
        <v>Фізична особа</v>
      </c>
      <c r="H1256" s="1" t="s">
        <v>20</v>
      </c>
      <c r="I1256" s="1" t="s">
        <v>20</v>
      </c>
      <c r="J1256" s="1" t="str">
        <f>"Закрито"</f>
        <v>Закрито</v>
      </c>
      <c r="K1256" s="6">
        <v>45608</v>
      </c>
      <c r="L1256" s="1" t="s">
        <v>20</v>
      </c>
      <c r="M1256" s="1" t="s">
        <v>22</v>
      </c>
      <c r="N1256" s="5">
        <v>45608</v>
      </c>
    </row>
    <row r="1257" spans="1:14" x14ac:dyDescent="0.3">
      <c r="A1257" s="1" t="str">
        <f>"1_5764/2129-11/2024/П"</f>
        <v>1_5764/2129-11/2024/П</v>
      </c>
      <c r="B1257" s="6">
        <v>45608</v>
      </c>
      <c r="C1257" s="1" t="str">
        <f>"00038"</f>
        <v>00038</v>
      </c>
      <c r="D125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57" s="1" t="s">
        <v>20</v>
      </c>
      <c r="F12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57" s="1" t="str">
        <f t="shared" si="171"/>
        <v>Фізична особа</v>
      </c>
      <c r="H1257" s="1" t="s">
        <v>20</v>
      </c>
      <c r="I1257" s="1" t="s">
        <v>20</v>
      </c>
      <c r="J1257" s="1" t="str">
        <f>"Закрито"</f>
        <v>Закрито</v>
      </c>
      <c r="K1257" s="6">
        <v>45608</v>
      </c>
      <c r="L1257" s="1" t="s">
        <v>20</v>
      </c>
      <c r="M1257" s="1" t="s">
        <v>22</v>
      </c>
      <c r="N1257" s="5">
        <v>45608</v>
      </c>
    </row>
    <row r="1258" spans="1:14" x14ac:dyDescent="0.3">
      <c r="A1258" s="1" t="str">
        <f>"1_5765/2129-11/2024/Г"</f>
        <v>1_5765/2129-11/2024/Г</v>
      </c>
      <c r="B1258" s="6">
        <v>45608</v>
      </c>
      <c r="C1258" s="1" t="str">
        <f>"01217"</f>
        <v>01217</v>
      </c>
      <c r="D1258" s="2" t="str">
        <f>"Реєстрація місця проживання дитини до 14 років"</f>
        <v>Реєстрація місця проживання дитини до 14 років</v>
      </c>
      <c r="E1258" s="1" t="s">
        <v>20</v>
      </c>
      <c r="F125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58" s="1" t="str">
        <f t="shared" si="171"/>
        <v>Фізична особа</v>
      </c>
      <c r="H1258" s="1" t="s">
        <v>20</v>
      </c>
      <c r="I1258" s="1" t="s">
        <v>20</v>
      </c>
      <c r="J1258" s="1" t="str">
        <f>"Закрито"</f>
        <v>Закрито</v>
      </c>
      <c r="K1258" s="6">
        <v>45608</v>
      </c>
      <c r="L1258" s="1" t="s">
        <v>20</v>
      </c>
      <c r="M1258" s="1" t="s">
        <v>22</v>
      </c>
      <c r="N1258" s="5">
        <v>45608</v>
      </c>
    </row>
    <row r="1259" spans="1:14" x14ac:dyDescent="0.3">
      <c r="A1259" s="1" t="str">
        <f>"3_1358/4-11/2024/Л"</f>
        <v>3_1358/4-11/2024/Л</v>
      </c>
      <c r="B1259" s="6">
        <v>45608</v>
      </c>
      <c r="C1259" s="1" t="str">
        <f>"00060"</f>
        <v>00060</v>
      </c>
      <c r="D1259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259" s="1" t="s">
        <v>20</v>
      </c>
      <c r="F1259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259" s="1" t="str">
        <f t="shared" si="171"/>
        <v>Фізична особа</v>
      </c>
      <c r="H1259" s="1" t="s">
        <v>20</v>
      </c>
      <c r="I1259" s="1" t="s">
        <v>20</v>
      </c>
      <c r="J1259" s="1" t="str">
        <f>"Результат підготовлено СНАП"</f>
        <v>Результат підготовлено СНАП</v>
      </c>
      <c r="K1259" s="5">
        <v>45614</v>
      </c>
      <c r="L1259" s="1" t="str">
        <f>"151.4"</f>
        <v>151.4</v>
      </c>
      <c r="M1259" s="1" t="s">
        <v>22</v>
      </c>
      <c r="N1259" s="1" t="s">
        <v>20</v>
      </c>
    </row>
    <row r="1260" spans="1:14" x14ac:dyDescent="0.3">
      <c r="A1260" s="1" t="str">
        <f>"3_1359/4-11/2024/Л"</f>
        <v>3_1359/4-11/2024/Л</v>
      </c>
      <c r="B1260" s="6">
        <v>45608</v>
      </c>
      <c r="C1260" s="1" t="str">
        <f>"00060"</f>
        <v>00060</v>
      </c>
      <c r="D1260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260" s="1" t="s">
        <v>20</v>
      </c>
      <c r="F1260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260" s="1" t="str">
        <f t="shared" si="171"/>
        <v>Фізична особа</v>
      </c>
      <c r="H1260" s="1" t="s">
        <v>20</v>
      </c>
      <c r="I1260" s="1" t="s">
        <v>20</v>
      </c>
      <c r="J1260" s="1" t="str">
        <f>"Результат підготовлено СНАП"</f>
        <v>Результат підготовлено СНАП</v>
      </c>
      <c r="K1260" s="5">
        <v>45614</v>
      </c>
      <c r="L1260" s="1" t="str">
        <f>"151.4"</f>
        <v>151.4</v>
      </c>
      <c r="M1260" s="1" t="s">
        <v>22</v>
      </c>
      <c r="N1260" s="1" t="s">
        <v>20</v>
      </c>
    </row>
    <row r="1261" spans="1:14" x14ac:dyDescent="0.3">
      <c r="A1261" s="1" t="str">
        <f>"3_1360/4-11/2024/Л"</f>
        <v>3_1360/4-11/2024/Л</v>
      </c>
      <c r="B1261" s="6">
        <v>45608</v>
      </c>
      <c r="C1261" s="1" t="str">
        <f>"00060"</f>
        <v>00060</v>
      </c>
      <c r="D1261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261" s="1" t="s">
        <v>20</v>
      </c>
      <c r="F1261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261" s="1" t="str">
        <f t="shared" si="171"/>
        <v>Фізична особа</v>
      </c>
      <c r="H1261" s="1" t="s">
        <v>20</v>
      </c>
      <c r="I1261" s="1" t="s">
        <v>20</v>
      </c>
      <c r="J1261" s="1" t="str">
        <f>"Результат підготовлено СНАП"</f>
        <v>Результат підготовлено СНАП</v>
      </c>
      <c r="K1261" s="5">
        <v>45614</v>
      </c>
      <c r="L1261" s="1" t="str">
        <f>"151.4"</f>
        <v>151.4</v>
      </c>
      <c r="M1261" s="1" t="s">
        <v>22</v>
      </c>
      <c r="N1261" s="1" t="s">
        <v>20</v>
      </c>
    </row>
    <row r="1262" spans="1:14" x14ac:dyDescent="0.3">
      <c r="A1262" s="1" t="str">
        <f>"33_412-11/2024/М"</f>
        <v>33_412-11/2024/М</v>
      </c>
      <c r="B1262" s="6">
        <v>45608</v>
      </c>
      <c r="C1262" s="1" t="str">
        <f>"00037"</f>
        <v>00037</v>
      </c>
      <c r="D1262" s="2" t="str">
        <f>"Зняття з реєстрації місця проживання"</f>
        <v>Зняття з реєстрації місця проживання</v>
      </c>
      <c r="E1262" s="1" t="s">
        <v>20</v>
      </c>
      <c r="F1262" s="1" t="str">
        <f t="shared" ref="F1262:F1274" si="172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62" s="1" t="str">
        <f>"Юридична особа"</f>
        <v>Юридична особа</v>
      </c>
      <c r="H1262" s="1" t="str">
        <f>"Міграційна служба"</f>
        <v>Міграційна служба</v>
      </c>
      <c r="I1262" s="1" t="s">
        <v>20</v>
      </c>
      <c r="J1262" s="1" t="str">
        <f t="shared" ref="J1262:J1276" si="173">"Закрито"</f>
        <v>Закрито</v>
      </c>
      <c r="K1262" s="5">
        <v>45608</v>
      </c>
      <c r="L1262" s="1" t="s">
        <v>20</v>
      </c>
      <c r="M1262" s="1" t="s">
        <v>22</v>
      </c>
      <c r="N1262" s="5">
        <v>45608</v>
      </c>
    </row>
    <row r="1263" spans="1:14" x14ac:dyDescent="0.3">
      <c r="A1263" s="1" t="str">
        <f>"1_5766/2129-11/2024/Д"</f>
        <v>1_5766/2129-11/2024/Д</v>
      </c>
      <c r="B1263" s="6">
        <v>45608</v>
      </c>
      <c r="C1263" s="1" t="str">
        <f>"02022"</f>
        <v>02022</v>
      </c>
      <c r="D1263" s="2" t="str">
        <f>"Видача довідки про членство в особистому селянському господарстві"</f>
        <v>Видача довідки про членство в особистому селянському господарстві</v>
      </c>
      <c r="E1263" s="1" t="s">
        <v>20</v>
      </c>
      <c r="F1263" s="1" t="str">
        <f t="shared" si="172"/>
        <v>Центр надання адміністративних послуг Рогатинської міської ради</v>
      </c>
      <c r="G1263" s="1" t="str">
        <f t="shared" ref="G1263:G1294" si="174">"Фізична особа"</f>
        <v>Фізична особа</v>
      </c>
      <c r="H1263" s="1" t="s">
        <v>20</v>
      </c>
      <c r="I1263" s="1" t="s">
        <v>20</v>
      </c>
      <c r="J1263" s="1" t="str">
        <f t="shared" si="173"/>
        <v>Закрито</v>
      </c>
      <c r="K1263" s="6">
        <v>45608</v>
      </c>
      <c r="L1263" s="1" t="s">
        <v>20</v>
      </c>
      <c r="M1263" s="1" t="s">
        <v>22</v>
      </c>
      <c r="N1263" s="5">
        <v>45608</v>
      </c>
    </row>
    <row r="1264" spans="1:14" x14ac:dyDescent="0.3">
      <c r="A1264" s="1" t="str">
        <f>"1_5767/2129-11/2024/М"</f>
        <v>1_5767/2129-11/2024/М</v>
      </c>
      <c r="B1264" s="6">
        <v>45608</v>
      </c>
      <c r="C1264" s="1" t="str">
        <f t="shared" ref="C1264:C1271" si="175">"00038"</f>
        <v>00038</v>
      </c>
      <c r="D1264" s="2" t="str">
        <f t="shared" ref="D1264:D1271" si="176"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64" s="1" t="s">
        <v>20</v>
      </c>
      <c r="F1264" s="1" t="str">
        <f t="shared" si="172"/>
        <v>Центр надання адміністративних послуг Рогатинської міської ради</v>
      </c>
      <c r="G1264" s="1" t="str">
        <f t="shared" si="174"/>
        <v>Фізична особа</v>
      </c>
      <c r="H1264" s="1" t="s">
        <v>20</v>
      </c>
      <c r="I1264" s="1" t="s">
        <v>20</v>
      </c>
      <c r="J1264" s="1" t="str">
        <f t="shared" si="173"/>
        <v>Закрито</v>
      </c>
      <c r="K1264" s="6">
        <v>45608</v>
      </c>
      <c r="L1264" s="1" t="s">
        <v>20</v>
      </c>
      <c r="M1264" s="1" t="s">
        <v>22</v>
      </c>
      <c r="N1264" s="5">
        <v>45608</v>
      </c>
    </row>
    <row r="1265" spans="1:14" x14ac:dyDescent="0.3">
      <c r="A1265" s="1" t="str">
        <f>"1_5768/2129-11/2024/К"</f>
        <v>1_5768/2129-11/2024/К</v>
      </c>
      <c r="B1265" s="6">
        <v>45608</v>
      </c>
      <c r="C1265" s="1" t="str">
        <f t="shared" si="175"/>
        <v>00038</v>
      </c>
      <c r="D1265" s="2" t="str">
        <f t="shared" si="176"/>
        <v>Видача довідки про реєстрацію місця проживання або місця перебування особи</v>
      </c>
      <c r="E1265" s="1" t="s">
        <v>20</v>
      </c>
      <c r="F1265" s="1" t="str">
        <f t="shared" si="172"/>
        <v>Центр надання адміністративних послуг Рогатинської міської ради</v>
      </c>
      <c r="G1265" s="1" t="str">
        <f t="shared" si="174"/>
        <v>Фізична особа</v>
      </c>
      <c r="H1265" s="1" t="s">
        <v>20</v>
      </c>
      <c r="I1265" s="1" t="s">
        <v>20</v>
      </c>
      <c r="J1265" s="1" t="str">
        <f t="shared" si="173"/>
        <v>Закрито</v>
      </c>
      <c r="K1265" s="6">
        <v>45608</v>
      </c>
      <c r="L1265" s="1" t="s">
        <v>20</v>
      </c>
      <c r="M1265" s="1" t="s">
        <v>22</v>
      </c>
      <c r="N1265" s="5">
        <v>45608</v>
      </c>
    </row>
    <row r="1266" spans="1:14" x14ac:dyDescent="0.3">
      <c r="A1266" s="1" t="str">
        <f>"1_5769/2129-11/2024/Я"</f>
        <v>1_5769/2129-11/2024/Я</v>
      </c>
      <c r="B1266" s="6">
        <v>45608</v>
      </c>
      <c r="C1266" s="1" t="str">
        <f t="shared" si="175"/>
        <v>00038</v>
      </c>
      <c r="D1266" s="2" t="str">
        <f t="shared" si="176"/>
        <v>Видача довідки про реєстрацію місця проживання або місця перебування особи</v>
      </c>
      <c r="E1266" s="1" t="s">
        <v>20</v>
      </c>
      <c r="F1266" s="1" t="str">
        <f t="shared" si="172"/>
        <v>Центр надання адміністративних послуг Рогатинської міської ради</v>
      </c>
      <c r="G1266" s="1" t="str">
        <f t="shared" si="174"/>
        <v>Фізична особа</v>
      </c>
      <c r="H1266" s="1" t="s">
        <v>20</v>
      </c>
      <c r="I1266" s="1" t="s">
        <v>20</v>
      </c>
      <c r="J1266" s="1" t="str">
        <f t="shared" si="173"/>
        <v>Закрито</v>
      </c>
      <c r="K1266" s="6">
        <v>45608</v>
      </c>
      <c r="L1266" s="1" t="s">
        <v>20</v>
      </c>
      <c r="M1266" s="1" t="s">
        <v>22</v>
      </c>
      <c r="N1266" s="5">
        <v>45608</v>
      </c>
    </row>
    <row r="1267" spans="1:14" x14ac:dyDescent="0.3">
      <c r="A1267" s="1" t="str">
        <f>"1_5770/2129-11/2024/К"</f>
        <v>1_5770/2129-11/2024/К</v>
      </c>
      <c r="B1267" s="6">
        <v>45608</v>
      </c>
      <c r="C1267" s="1" t="str">
        <f t="shared" si="175"/>
        <v>00038</v>
      </c>
      <c r="D1267" s="2" t="str">
        <f t="shared" si="176"/>
        <v>Видача довідки про реєстрацію місця проживання або місця перебування особи</v>
      </c>
      <c r="E1267" s="1" t="s">
        <v>20</v>
      </c>
      <c r="F1267" s="1" t="str">
        <f t="shared" si="172"/>
        <v>Центр надання адміністративних послуг Рогатинської міської ради</v>
      </c>
      <c r="G1267" s="1" t="str">
        <f t="shared" si="174"/>
        <v>Фізична особа</v>
      </c>
      <c r="H1267" s="1" t="s">
        <v>20</v>
      </c>
      <c r="I1267" s="1" t="s">
        <v>20</v>
      </c>
      <c r="J1267" s="1" t="str">
        <f t="shared" si="173"/>
        <v>Закрито</v>
      </c>
      <c r="K1267" s="6">
        <v>45608</v>
      </c>
      <c r="L1267" s="1" t="s">
        <v>20</v>
      </c>
      <c r="M1267" s="1" t="s">
        <v>22</v>
      </c>
      <c r="N1267" s="5">
        <v>45608</v>
      </c>
    </row>
    <row r="1268" spans="1:14" x14ac:dyDescent="0.3">
      <c r="A1268" s="1" t="str">
        <f>"1_5771/2129-11/2024/Г"</f>
        <v>1_5771/2129-11/2024/Г</v>
      </c>
      <c r="B1268" s="6">
        <v>45608</v>
      </c>
      <c r="C1268" s="1" t="str">
        <f t="shared" si="175"/>
        <v>00038</v>
      </c>
      <c r="D1268" s="2" t="str">
        <f t="shared" si="176"/>
        <v>Видача довідки про реєстрацію місця проживання або місця перебування особи</v>
      </c>
      <c r="E1268" s="1" t="s">
        <v>20</v>
      </c>
      <c r="F1268" s="1" t="str">
        <f t="shared" si="172"/>
        <v>Центр надання адміністративних послуг Рогатинської міської ради</v>
      </c>
      <c r="G1268" s="1" t="str">
        <f t="shared" si="174"/>
        <v>Фізична особа</v>
      </c>
      <c r="H1268" s="1" t="s">
        <v>20</v>
      </c>
      <c r="I1268" s="1" t="s">
        <v>20</v>
      </c>
      <c r="J1268" s="1" t="str">
        <f t="shared" si="173"/>
        <v>Закрито</v>
      </c>
      <c r="K1268" s="6">
        <v>45608</v>
      </c>
      <c r="L1268" s="1" t="s">
        <v>20</v>
      </c>
      <c r="M1268" s="1" t="s">
        <v>22</v>
      </c>
      <c r="N1268" s="5">
        <v>45608</v>
      </c>
    </row>
    <row r="1269" spans="1:14" x14ac:dyDescent="0.3">
      <c r="A1269" s="1" t="str">
        <f>"12_850-11/2024/Б"</f>
        <v>12_850-11/2024/Б</v>
      </c>
      <c r="B1269" s="6">
        <v>45608</v>
      </c>
      <c r="C1269" s="1" t="str">
        <f t="shared" si="175"/>
        <v>00038</v>
      </c>
      <c r="D1269" s="2" t="str">
        <f t="shared" si="176"/>
        <v>Видача довідки про реєстрацію місця проживання або місця перебування особи</v>
      </c>
      <c r="E1269" s="1" t="s">
        <v>20</v>
      </c>
      <c r="F1269" s="1" t="str">
        <f t="shared" si="172"/>
        <v>Центр надання адміністративних послуг Рогатинської міської ради</v>
      </c>
      <c r="G1269" s="1" t="str">
        <f t="shared" si="174"/>
        <v>Фізична особа</v>
      </c>
      <c r="H1269" s="1" t="s">
        <v>20</v>
      </c>
      <c r="I1269" s="1" t="s">
        <v>20</v>
      </c>
      <c r="J1269" s="1" t="str">
        <f t="shared" si="173"/>
        <v>Закрито</v>
      </c>
      <c r="K1269" s="5">
        <v>45608</v>
      </c>
      <c r="L1269" s="1" t="s">
        <v>20</v>
      </c>
      <c r="M1269" s="1" t="s">
        <v>22</v>
      </c>
      <c r="N1269" s="5">
        <v>45608</v>
      </c>
    </row>
    <row r="1270" spans="1:14" x14ac:dyDescent="0.3">
      <c r="A1270" s="1" t="str">
        <f>"1_5772/2129-11/2024/З"</f>
        <v>1_5772/2129-11/2024/З</v>
      </c>
      <c r="B1270" s="6">
        <v>45608</v>
      </c>
      <c r="C1270" s="1" t="str">
        <f t="shared" si="175"/>
        <v>00038</v>
      </c>
      <c r="D1270" s="2" t="str">
        <f t="shared" si="176"/>
        <v>Видача довідки про реєстрацію місця проживання або місця перебування особи</v>
      </c>
      <c r="E1270" s="1" t="s">
        <v>20</v>
      </c>
      <c r="F1270" s="1" t="str">
        <f t="shared" si="172"/>
        <v>Центр надання адміністративних послуг Рогатинської міської ради</v>
      </c>
      <c r="G1270" s="1" t="str">
        <f t="shared" si="174"/>
        <v>Фізична особа</v>
      </c>
      <c r="H1270" s="1" t="s">
        <v>20</v>
      </c>
      <c r="I1270" s="1" t="s">
        <v>20</v>
      </c>
      <c r="J1270" s="1" t="str">
        <f t="shared" si="173"/>
        <v>Закрито</v>
      </c>
      <c r="K1270" s="6">
        <v>45608</v>
      </c>
      <c r="L1270" s="1" t="s">
        <v>20</v>
      </c>
      <c r="M1270" s="1" t="s">
        <v>22</v>
      </c>
      <c r="N1270" s="5">
        <v>45608</v>
      </c>
    </row>
    <row r="1271" spans="1:14" x14ac:dyDescent="0.3">
      <c r="A1271" s="1" t="str">
        <f>"12_851-11/2024/Б"</f>
        <v>12_851-11/2024/Б</v>
      </c>
      <c r="B1271" s="6">
        <v>45608</v>
      </c>
      <c r="C1271" s="1" t="str">
        <f t="shared" si="175"/>
        <v>00038</v>
      </c>
      <c r="D1271" s="2" t="str">
        <f t="shared" si="176"/>
        <v>Видача довідки про реєстрацію місця проживання або місця перебування особи</v>
      </c>
      <c r="E1271" s="1" t="s">
        <v>20</v>
      </c>
      <c r="F1271" s="1" t="str">
        <f t="shared" si="172"/>
        <v>Центр надання адміністративних послуг Рогатинської міської ради</v>
      </c>
      <c r="G1271" s="1" t="str">
        <f t="shared" si="174"/>
        <v>Фізична особа</v>
      </c>
      <c r="H1271" s="1" t="s">
        <v>20</v>
      </c>
      <c r="I1271" s="1" t="s">
        <v>20</v>
      </c>
      <c r="J1271" s="1" t="str">
        <f t="shared" si="173"/>
        <v>Закрито</v>
      </c>
      <c r="K1271" s="5">
        <v>45608</v>
      </c>
      <c r="L1271" s="1" t="s">
        <v>20</v>
      </c>
      <c r="M1271" s="1" t="s">
        <v>22</v>
      </c>
      <c r="N1271" s="5">
        <v>45608</v>
      </c>
    </row>
    <row r="1272" spans="1:14" x14ac:dyDescent="0.3">
      <c r="A1272" s="1" t="str">
        <f>"7_255/2129-11/2024/К"</f>
        <v>7_255/2129-11/2024/К</v>
      </c>
      <c r="B1272" s="6">
        <v>45608</v>
      </c>
      <c r="C1272" s="1" t="str">
        <f>"02022"</f>
        <v>02022</v>
      </c>
      <c r="D1272" s="2" t="str">
        <f>"Видача довідки про членство в особистому селянському господарстві"</f>
        <v>Видача довідки про членство в особистому селянському господарстві</v>
      </c>
      <c r="E1272" s="1" t="s">
        <v>20</v>
      </c>
      <c r="F1272" s="1" t="str">
        <f t="shared" si="172"/>
        <v>Центр надання адміністративних послуг Рогатинської міської ради</v>
      </c>
      <c r="G1272" s="1" t="str">
        <f t="shared" si="174"/>
        <v>Фізична особа</v>
      </c>
      <c r="H1272" s="1" t="s">
        <v>20</v>
      </c>
      <c r="I1272" s="1" t="s">
        <v>20</v>
      </c>
      <c r="J1272" s="1" t="str">
        <f t="shared" si="173"/>
        <v>Закрито</v>
      </c>
      <c r="K1272" s="5">
        <v>45608</v>
      </c>
      <c r="L1272" s="1" t="s">
        <v>20</v>
      </c>
      <c r="M1272" s="1" t="s">
        <v>22</v>
      </c>
      <c r="N1272" s="5">
        <v>45608</v>
      </c>
    </row>
    <row r="1273" spans="1:14" x14ac:dyDescent="0.3">
      <c r="A1273" s="1" t="str">
        <f>"1_5773/2129-11/2024/О"</f>
        <v>1_5773/2129-11/2024/О</v>
      </c>
      <c r="B1273" s="6">
        <v>45608</v>
      </c>
      <c r="C1273" s="1" t="str">
        <f>"00038"</f>
        <v>00038</v>
      </c>
      <c r="D127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73" s="1" t="s">
        <v>20</v>
      </c>
      <c r="F1273" s="1" t="str">
        <f t="shared" si="172"/>
        <v>Центр надання адміністративних послуг Рогатинської міської ради</v>
      </c>
      <c r="G1273" s="1" t="str">
        <f t="shared" si="174"/>
        <v>Фізична особа</v>
      </c>
      <c r="H1273" s="1" t="s">
        <v>20</v>
      </c>
      <c r="I1273" s="1" t="s">
        <v>20</v>
      </c>
      <c r="J1273" s="1" t="str">
        <f t="shared" si="173"/>
        <v>Закрито</v>
      </c>
      <c r="K1273" s="6">
        <v>45608</v>
      </c>
      <c r="L1273" s="1" t="s">
        <v>20</v>
      </c>
      <c r="M1273" s="1" t="s">
        <v>22</v>
      </c>
      <c r="N1273" s="5">
        <v>45608</v>
      </c>
    </row>
    <row r="1274" spans="1:14" x14ac:dyDescent="0.3">
      <c r="A1274" s="1" t="str">
        <f>"1_5774/2129-11/2024/В"</f>
        <v>1_5774/2129-11/2024/В</v>
      </c>
      <c r="B1274" s="6">
        <v>45608</v>
      </c>
      <c r="C1274" s="1" t="str">
        <f>"00038"</f>
        <v>00038</v>
      </c>
      <c r="D127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74" s="1" t="s">
        <v>20</v>
      </c>
      <c r="F1274" s="1" t="str">
        <f t="shared" si="172"/>
        <v>Центр надання адміністративних послуг Рогатинської міської ради</v>
      </c>
      <c r="G1274" s="1" t="str">
        <f t="shared" si="174"/>
        <v>Фізична особа</v>
      </c>
      <c r="H1274" s="1" t="s">
        <v>20</v>
      </c>
      <c r="I1274" s="1" t="s">
        <v>20</v>
      </c>
      <c r="J1274" s="1" t="str">
        <f t="shared" si="173"/>
        <v>Закрито</v>
      </c>
      <c r="K1274" s="6">
        <v>45608</v>
      </c>
      <c r="L1274" s="1" t="s">
        <v>20</v>
      </c>
      <c r="M1274" s="1" t="s">
        <v>22</v>
      </c>
      <c r="N1274" s="5">
        <v>45608</v>
      </c>
    </row>
    <row r="1275" spans="1:14" x14ac:dyDescent="0.3">
      <c r="A1275" s="1" t="str">
        <f>"12_852-11/2024/Б"</f>
        <v>12_852-11/2024/Б</v>
      </c>
      <c r="B1275" s="6">
        <v>45608</v>
      </c>
      <c r="C1275" s="1" t="str">
        <f>"00155"</f>
        <v>00155</v>
      </c>
      <c r="D1275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275" s="1" t="str">
        <f>"03193413"</f>
        <v>03193413</v>
      </c>
      <c r="F127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75" s="1" t="str">
        <f t="shared" si="174"/>
        <v>Фізична особа</v>
      </c>
      <c r="H1275" s="1" t="s">
        <v>20</v>
      </c>
      <c r="I1275" s="1" t="s">
        <v>20</v>
      </c>
      <c r="J1275" s="1" t="str">
        <f t="shared" si="173"/>
        <v>Закрито</v>
      </c>
      <c r="K1275" s="5">
        <v>45653</v>
      </c>
      <c r="L1275" s="1" t="s">
        <v>20</v>
      </c>
      <c r="M1275" s="1" t="s">
        <v>22</v>
      </c>
      <c r="N1275" s="5">
        <v>45653</v>
      </c>
    </row>
    <row r="1276" spans="1:14" x14ac:dyDescent="0.3">
      <c r="A1276" s="1" t="str">
        <f>"1_5775/2129-11/2024/Г"</f>
        <v>1_5775/2129-11/2024/Г</v>
      </c>
      <c r="B1276" s="6">
        <v>45608</v>
      </c>
      <c r="C1276" s="1" t="str">
        <f>"00038"</f>
        <v>00038</v>
      </c>
      <c r="D127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76" s="1" t="s">
        <v>20</v>
      </c>
      <c r="F127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76" s="1" t="str">
        <f t="shared" si="174"/>
        <v>Фізична особа</v>
      </c>
      <c r="H1276" s="1" t="s">
        <v>20</v>
      </c>
      <c r="I1276" s="1" t="s">
        <v>20</v>
      </c>
      <c r="J1276" s="1" t="str">
        <f t="shared" si="173"/>
        <v>Закрито</v>
      </c>
      <c r="K1276" s="6">
        <v>45608</v>
      </c>
      <c r="L1276" s="1" t="s">
        <v>20</v>
      </c>
      <c r="M1276" s="1" t="s">
        <v>22</v>
      </c>
      <c r="N1276" s="5">
        <v>45608</v>
      </c>
    </row>
    <row r="1277" spans="1:14" x14ac:dyDescent="0.3">
      <c r="A1277" s="1" t="str">
        <f>"16_670-11/2024/Л"</f>
        <v>16_670-11/2024/Л</v>
      </c>
      <c r="B1277" s="6">
        <v>45608</v>
      </c>
      <c r="C1277" s="1" t="str">
        <f>"00103"</f>
        <v>00103</v>
      </c>
      <c r="D1277" s="2" t="s">
        <v>1</v>
      </c>
      <c r="E1277" s="1" t="str">
        <f>"03193413"</f>
        <v>03193413</v>
      </c>
      <c r="F127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77" s="1" t="str">
        <f t="shared" si="174"/>
        <v>Фізична особа</v>
      </c>
      <c r="H1277" s="1" t="s">
        <v>20</v>
      </c>
      <c r="I1277" s="1" t="s">
        <v>20</v>
      </c>
      <c r="J1277" s="1" t="str">
        <f>"Зареєстрований"</f>
        <v>Зареєстрований</v>
      </c>
      <c r="K1277" s="1" t="s">
        <v>20</v>
      </c>
      <c r="L1277" s="1" t="s">
        <v>20</v>
      </c>
      <c r="M1277" s="1" t="s">
        <v>22</v>
      </c>
      <c r="N1277" s="1" t="s">
        <v>20</v>
      </c>
    </row>
    <row r="1278" spans="1:14" x14ac:dyDescent="0.3">
      <c r="A1278" s="1" t="str">
        <f>"28_636-11/2024/В"</f>
        <v>28_636-11/2024/В</v>
      </c>
      <c r="B1278" s="6">
        <v>45608</v>
      </c>
      <c r="C1278" s="1" t="str">
        <f>"00155"</f>
        <v>00155</v>
      </c>
      <c r="D1278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278" s="1" t="str">
        <f>"03193413"</f>
        <v>03193413</v>
      </c>
      <c r="F127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78" s="1" t="str">
        <f t="shared" si="174"/>
        <v>Фізична особа</v>
      </c>
      <c r="H1278" s="1" t="s">
        <v>20</v>
      </c>
      <c r="I1278" s="1" t="s">
        <v>20</v>
      </c>
      <c r="J1278" s="1" t="str">
        <f t="shared" ref="J1278:J1286" si="177">"Закрито"</f>
        <v>Закрито</v>
      </c>
      <c r="K1278" s="5">
        <v>45621</v>
      </c>
      <c r="L1278" s="1" t="s">
        <v>20</v>
      </c>
      <c r="M1278" s="1" t="s">
        <v>22</v>
      </c>
      <c r="N1278" s="5">
        <v>45621</v>
      </c>
    </row>
    <row r="1279" spans="1:14" x14ac:dyDescent="0.3">
      <c r="A1279" s="1" t="str">
        <f>"3_839-11/2024/К"</f>
        <v>3_839-11/2024/К</v>
      </c>
      <c r="B1279" s="6">
        <v>45608</v>
      </c>
      <c r="C1279" s="1" t="str">
        <f>"00037"</f>
        <v>00037</v>
      </c>
      <c r="D1279" s="2" t="str">
        <f>"Зняття з реєстрації місця проживання"</f>
        <v>Зняття з реєстрації місця проживання</v>
      </c>
      <c r="E1279" s="1" t="s">
        <v>20</v>
      </c>
      <c r="F127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79" s="1" t="str">
        <f t="shared" si="174"/>
        <v>Фізична особа</v>
      </c>
      <c r="H1279" s="1" t="s">
        <v>20</v>
      </c>
      <c r="I1279" s="1" t="s">
        <v>20</v>
      </c>
      <c r="J1279" s="1" t="str">
        <f t="shared" si="177"/>
        <v>Закрито</v>
      </c>
      <c r="K1279" s="5">
        <v>45608</v>
      </c>
      <c r="L1279" s="1" t="s">
        <v>20</v>
      </c>
      <c r="M1279" s="1" t="s">
        <v>22</v>
      </c>
      <c r="N1279" s="5">
        <v>45608</v>
      </c>
    </row>
    <row r="1280" spans="1:14" x14ac:dyDescent="0.3">
      <c r="A1280" s="1" t="str">
        <f>"9_1629/04054323-11/2024/Ш"</f>
        <v>9_1629/04054323-11/2024/Ш</v>
      </c>
      <c r="B1280" s="6">
        <v>45608</v>
      </c>
      <c r="C1280" s="1" t="str">
        <f>"01"</f>
        <v>01</v>
      </c>
      <c r="D1280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280" s="1" t="str">
        <f>"04054323"</f>
        <v>04054323</v>
      </c>
      <c r="F1280" s="1" t="str">
        <f>"Рогатинська міська рада"</f>
        <v>Рогатинська міська рада</v>
      </c>
      <c r="G1280" s="1" t="str">
        <f t="shared" si="174"/>
        <v>Фізична особа</v>
      </c>
      <c r="H1280" s="1" t="s">
        <v>20</v>
      </c>
      <c r="I1280" s="1" t="s">
        <v>20</v>
      </c>
      <c r="J1280" s="1" t="str">
        <f t="shared" si="177"/>
        <v>Закрито</v>
      </c>
      <c r="K1280" s="5">
        <v>45637</v>
      </c>
      <c r="L1280" s="1" t="s">
        <v>20</v>
      </c>
      <c r="M1280" s="1" t="s">
        <v>22</v>
      </c>
      <c r="N1280" s="5">
        <v>45637</v>
      </c>
    </row>
    <row r="1281" spans="1:14" x14ac:dyDescent="0.3">
      <c r="A1281" s="1" t="str">
        <f>"12_853-11/2024/Г"</f>
        <v>12_853-11/2024/Г</v>
      </c>
      <c r="B1281" s="6">
        <v>45608</v>
      </c>
      <c r="C1281" s="1" t="str">
        <f>"00155"</f>
        <v>00155</v>
      </c>
      <c r="D1281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281" s="1" t="str">
        <f>"03193413"</f>
        <v>03193413</v>
      </c>
      <c r="F128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81" s="1" t="str">
        <f t="shared" si="174"/>
        <v>Фізична особа</v>
      </c>
      <c r="H1281" s="1" t="s">
        <v>20</v>
      </c>
      <c r="I1281" s="1" t="s">
        <v>20</v>
      </c>
      <c r="J1281" s="1" t="str">
        <f t="shared" si="177"/>
        <v>Закрито</v>
      </c>
      <c r="K1281" s="1" t="s">
        <v>20</v>
      </c>
      <c r="L1281" s="1" t="s">
        <v>20</v>
      </c>
      <c r="M1281" s="1" t="s">
        <v>22</v>
      </c>
      <c r="N1281" s="1" t="s">
        <v>20</v>
      </c>
    </row>
    <row r="1282" spans="1:14" x14ac:dyDescent="0.3">
      <c r="A1282" s="1" t="str">
        <f>"9_1630/04054323-11/2024/О"</f>
        <v>9_1630/04054323-11/2024/О</v>
      </c>
      <c r="B1282" s="6">
        <v>45608</v>
      </c>
      <c r="C1282" s="1" t="str">
        <f>"00199"</f>
        <v>00199</v>
      </c>
      <c r="D1282" s="2" t="str">
        <f>"00199 Видача рішення про надання дозволу на розроблення проекту землеустрою щодо відведення земельної ділянки"</f>
        <v>00199 Видача рішення про надання дозволу на розроблення проекту землеустрою щодо відведення земельної ділянки</v>
      </c>
      <c r="E1282" s="1" t="str">
        <f>"04054323"</f>
        <v>04054323</v>
      </c>
      <c r="F1282" s="1" t="str">
        <f>"Рогатинська міська рада"</f>
        <v>Рогатинська міська рада</v>
      </c>
      <c r="G1282" s="1" t="str">
        <f t="shared" si="174"/>
        <v>Фізична особа</v>
      </c>
      <c r="H1282" s="1" t="s">
        <v>20</v>
      </c>
      <c r="I1282" s="1" t="s">
        <v>20</v>
      </c>
      <c r="J1282" s="1" t="str">
        <f t="shared" si="177"/>
        <v>Закрито</v>
      </c>
      <c r="K1282" s="5">
        <v>45618</v>
      </c>
      <c r="L1282" s="1" t="s">
        <v>20</v>
      </c>
      <c r="M1282" s="1" t="s">
        <v>22</v>
      </c>
      <c r="N1282" s="5">
        <v>45618</v>
      </c>
    </row>
    <row r="1283" spans="1:14" x14ac:dyDescent="0.3">
      <c r="A1283" s="1" t="str">
        <f>"1_5776/2129-11/2024/Р"</f>
        <v>1_5776/2129-11/2024/Р</v>
      </c>
      <c r="B1283" s="6">
        <v>45608</v>
      </c>
      <c r="C1283" s="1" t="str">
        <f>"00038"</f>
        <v>00038</v>
      </c>
      <c r="D128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83" s="1" t="s">
        <v>20</v>
      </c>
      <c r="F128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83" s="1" t="str">
        <f t="shared" si="174"/>
        <v>Фізична особа</v>
      </c>
      <c r="H1283" s="1" t="s">
        <v>20</v>
      </c>
      <c r="I1283" s="1" t="s">
        <v>20</v>
      </c>
      <c r="J1283" s="1" t="str">
        <f t="shared" si="177"/>
        <v>Закрито</v>
      </c>
      <c r="K1283" s="6">
        <v>45608</v>
      </c>
      <c r="L1283" s="1" t="s">
        <v>20</v>
      </c>
      <c r="M1283" s="1" t="s">
        <v>22</v>
      </c>
      <c r="N1283" s="5">
        <v>45608</v>
      </c>
    </row>
    <row r="1284" spans="1:14" x14ac:dyDescent="0.3">
      <c r="A1284" s="1" t="str">
        <f>"14_969-11/2024/І"</f>
        <v>14_969-11/2024/І</v>
      </c>
      <c r="B1284" s="6">
        <v>45608</v>
      </c>
      <c r="C1284" s="1" t="str">
        <f>"00038"</f>
        <v>00038</v>
      </c>
      <c r="D128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84" s="1" t="s">
        <v>20</v>
      </c>
      <c r="F128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84" s="1" t="str">
        <f t="shared" si="174"/>
        <v>Фізична особа</v>
      </c>
      <c r="H1284" s="1" t="s">
        <v>20</v>
      </c>
      <c r="I1284" s="1" t="s">
        <v>20</v>
      </c>
      <c r="J1284" s="1" t="str">
        <f t="shared" si="177"/>
        <v>Закрито</v>
      </c>
      <c r="K1284" s="5">
        <v>45608</v>
      </c>
      <c r="L1284" s="1" t="s">
        <v>20</v>
      </c>
      <c r="M1284" s="1" t="s">
        <v>22</v>
      </c>
      <c r="N1284" s="5">
        <v>45608</v>
      </c>
    </row>
    <row r="1285" spans="1:14" x14ac:dyDescent="0.3">
      <c r="A1285" s="1" t="str">
        <f>"4_1257/03193413-11/2024/Ф"</f>
        <v>4_1257/03193413-11/2024/Ф</v>
      </c>
      <c r="B1285" s="6">
        <v>45608</v>
      </c>
      <c r="C1285" s="1" t="str">
        <f>"00133"</f>
        <v>00133</v>
      </c>
      <c r="D1285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285" s="1" t="str">
        <f>"03193413"</f>
        <v>03193413</v>
      </c>
      <c r="F128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85" s="1" t="str">
        <f t="shared" si="174"/>
        <v>Фізична особа</v>
      </c>
      <c r="H1285" s="1" t="s">
        <v>20</v>
      </c>
      <c r="I1285" s="1" t="s">
        <v>20</v>
      </c>
      <c r="J1285" s="1" t="str">
        <f t="shared" si="177"/>
        <v>Закрито</v>
      </c>
      <c r="K1285" s="5">
        <v>45629</v>
      </c>
      <c r="L1285" s="1" t="s">
        <v>20</v>
      </c>
      <c r="M1285" s="1" t="s">
        <v>22</v>
      </c>
      <c r="N1285" s="5">
        <v>45629</v>
      </c>
    </row>
    <row r="1286" spans="1:14" x14ac:dyDescent="0.3">
      <c r="A1286" s="1" t="str">
        <f>"4_1258/03193413-11/2024/Ф"</f>
        <v>4_1258/03193413-11/2024/Ф</v>
      </c>
      <c r="B1286" s="6">
        <v>45608</v>
      </c>
      <c r="C1286" s="1" t="str">
        <f>"00150"</f>
        <v>00150</v>
      </c>
      <c r="D1286" s="2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1286" s="1" t="str">
        <f>"03193413"</f>
        <v>03193413</v>
      </c>
      <c r="F128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86" s="1" t="str">
        <f t="shared" si="174"/>
        <v>Фізична особа</v>
      </c>
      <c r="H1286" s="1" t="s">
        <v>20</v>
      </c>
      <c r="I1286" s="1" t="s">
        <v>20</v>
      </c>
      <c r="J1286" s="1" t="str">
        <f t="shared" si="177"/>
        <v>Закрито</v>
      </c>
      <c r="K1286" s="5">
        <v>45629</v>
      </c>
      <c r="L1286" s="1" t="s">
        <v>20</v>
      </c>
      <c r="M1286" s="1" t="s">
        <v>22</v>
      </c>
      <c r="N1286" s="5">
        <v>45629</v>
      </c>
    </row>
    <row r="1287" spans="1:14" x14ac:dyDescent="0.3">
      <c r="A1287" s="1" t="str">
        <f>"4_1259/03193413-11/2024/М"</f>
        <v>4_1259/03193413-11/2024/М</v>
      </c>
      <c r="B1287" s="6">
        <v>45608</v>
      </c>
      <c r="C1287" s="1" t="str">
        <f>"01974"</f>
        <v>01974</v>
      </c>
      <c r="D1287" s="2" t="str">
        <f>"Призначення пільги на оплату житла, комунальних послуг"</f>
        <v>Призначення пільги на оплату житла, комунальних послуг</v>
      </c>
      <c r="E1287" s="1" t="str">
        <f>"03193413"</f>
        <v>03193413</v>
      </c>
      <c r="F128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87" s="1" t="str">
        <f t="shared" si="174"/>
        <v>Фізична особа</v>
      </c>
      <c r="H1287" s="1" t="s">
        <v>20</v>
      </c>
      <c r="I1287" s="1" t="s">
        <v>20</v>
      </c>
      <c r="J1287" s="1" t="str">
        <f>"На обробці в СНАП"</f>
        <v>На обробці в СНАП</v>
      </c>
      <c r="K1287" s="1" t="s">
        <v>20</v>
      </c>
      <c r="L1287" s="1" t="s">
        <v>20</v>
      </c>
      <c r="M1287" s="1" t="s">
        <v>22</v>
      </c>
      <c r="N1287" s="1" t="s">
        <v>20</v>
      </c>
    </row>
    <row r="1288" spans="1:14" x14ac:dyDescent="0.3">
      <c r="A1288" s="1" t="str">
        <f>"7_256/2129-11/2024/Я"</f>
        <v>7_256/2129-11/2024/Я</v>
      </c>
      <c r="B1288" s="6">
        <v>45608</v>
      </c>
      <c r="C1288" s="1" t="str">
        <f>"33"</f>
        <v>33</v>
      </c>
      <c r="D1288" s="2" t="str">
        <f>"33 Довідки різного характеру"</f>
        <v>33 Довідки різного характеру</v>
      </c>
      <c r="E1288" s="1" t="s">
        <v>20</v>
      </c>
      <c r="F12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88" s="1" t="str">
        <f t="shared" si="174"/>
        <v>Фізична особа</v>
      </c>
      <c r="H1288" s="1" t="s">
        <v>20</v>
      </c>
      <c r="I1288" s="1" t="s">
        <v>20</v>
      </c>
      <c r="J1288" s="1" t="str">
        <f t="shared" ref="J1288:J1313" si="178">"Закрито"</f>
        <v>Закрито</v>
      </c>
      <c r="K1288" s="5">
        <v>45608</v>
      </c>
      <c r="L1288" s="1" t="s">
        <v>20</v>
      </c>
      <c r="M1288" s="1" t="s">
        <v>22</v>
      </c>
      <c r="N1288" s="5">
        <v>45608</v>
      </c>
    </row>
    <row r="1289" spans="1:14" x14ac:dyDescent="0.3">
      <c r="A1289" s="1" t="str">
        <f>"12_854-11/2024/К"</f>
        <v>12_854-11/2024/К</v>
      </c>
      <c r="B1289" s="6">
        <v>45608</v>
      </c>
      <c r="C1289" s="1" t="str">
        <f>"00038"</f>
        <v>00038</v>
      </c>
      <c r="D128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89" s="1" t="s">
        <v>20</v>
      </c>
      <c r="F128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89" s="1" t="str">
        <f t="shared" si="174"/>
        <v>Фізична особа</v>
      </c>
      <c r="H1289" s="1" t="s">
        <v>20</v>
      </c>
      <c r="I1289" s="1" t="s">
        <v>20</v>
      </c>
      <c r="J1289" s="1" t="str">
        <f t="shared" si="178"/>
        <v>Закрито</v>
      </c>
      <c r="K1289" s="5">
        <v>45608</v>
      </c>
      <c r="L1289" s="1" t="s">
        <v>20</v>
      </c>
      <c r="M1289" s="1" t="s">
        <v>22</v>
      </c>
      <c r="N1289" s="5">
        <v>45608</v>
      </c>
    </row>
    <row r="1290" spans="1:14" x14ac:dyDescent="0.3">
      <c r="A1290" s="1" t="str">
        <f>"25_425-11/2024/Б"</f>
        <v>25_425-11/2024/Б</v>
      </c>
      <c r="B1290" s="6">
        <v>45608</v>
      </c>
      <c r="C1290" s="1" t="str">
        <f>"00064"</f>
        <v>00064</v>
      </c>
      <c r="D1290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290" s="1" t="s">
        <v>20</v>
      </c>
      <c r="F1290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290" s="1" t="str">
        <f t="shared" si="174"/>
        <v>Фізична особа</v>
      </c>
      <c r="H1290" s="1" t="s">
        <v>20</v>
      </c>
      <c r="I1290" s="1" t="s">
        <v>20</v>
      </c>
      <c r="J1290" s="1" t="str">
        <f t="shared" si="178"/>
        <v>Закрито</v>
      </c>
      <c r="K1290" s="5">
        <v>45608</v>
      </c>
      <c r="L1290" s="1" t="s">
        <v>20</v>
      </c>
      <c r="M1290" s="1" t="s">
        <v>22</v>
      </c>
      <c r="N1290" s="5">
        <v>45608</v>
      </c>
    </row>
    <row r="1291" spans="1:14" x14ac:dyDescent="0.3">
      <c r="A1291" s="1" t="str">
        <f>"12_855-11/2024/К"</f>
        <v>12_855-11/2024/К</v>
      </c>
      <c r="B1291" s="6">
        <v>45608</v>
      </c>
      <c r="C1291" s="1" t="str">
        <f>"00038"</f>
        <v>00038</v>
      </c>
      <c r="D129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91" s="1" t="s">
        <v>20</v>
      </c>
      <c r="F129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91" s="1" t="str">
        <f t="shared" si="174"/>
        <v>Фізична особа</v>
      </c>
      <c r="H1291" s="1" t="s">
        <v>20</v>
      </c>
      <c r="I1291" s="1" t="s">
        <v>20</v>
      </c>
      <c r="J1291" s="1" t="str">
        <f t="shared" si="178"/>
        <v>Закрито</v>
      </c>
      <c r="K1291" s="5">
        <v>45608</v>
      </c>
      <c r="L1291" s="1" t="s">
        <v>20</v>
      </c>
      <c r="M1291" s="1" t="s">
        <v>22</v>
      </c>
      <c r="N1291" s="5">
        <v>45608</v>
      </c>
    </row>
    <row r="1292" spans="1:14" x14ac:dyDescent="0.3">
      <c r="A1292" s="1" t="str">
        <f>"33_413-11/2024/К"</f>
        <v>33_413-11/2024/К</v>
      </c>
      <c r="B1292" s="6">
        <v>45608</v>
      </c>
      <c r="C1292" s="1" t="str">
        <f>"01841"</f>
        <v>01841</v>
      </c>
      <c r="D1292" s="2" t="str">
        <f>"Видача довідки про реєстрацію та проживання особи станом на 15.04.1991 року"</f>
        <v>Видача довідки про реєстрацію та проживання особи станом на 15.04.1991 року</v>
      </c>
      <c r="E1292" s="1" t="s">
        <v>20</v>
      </c>
      <c r="F129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92" s="1" t="str">
        <f t="shared" si="174"/>
        <v>Фізична особа</v>
      </c>
      <c r="H1292" s="1" t="s">
        <v>20</v>
      </c>
      <c r="I1292" s="1" t="s">
        <v>20</v>
      </c>
      <c r="J1292" s="1" t="str">
        <f t="shared" si="178"/>
        <v>Закрито</v>
      </c>
      <c r="K1292" s="5">
        <v>45615</v>
      </c>
      <c r="L1292" s="1" t="s">
        <v>20</v>
      </c>
      <c r="M1292" s="1" t="s">
        <v>22</v>
      </c>
      <c r="N1292" s="5">
        <v>45615</v>
      </c>
    </row>
    <row r="1293" spans="1:14" x14ac:dyDescent="0.3">
      <c r="A1293" s="1" t="str">
        <f>"12_856-11/2024/К"</f>
        <v>12_856-11/2024/К</v>
      </c>
      <c r="B1293" s="6">
        <v>45608</v>
      </c>
      <c r="C1293" s="1" t="str">
        <f>"00155"</f>
        <v>00155</v>
      </c>
      <c r="D1293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293" s="1" t="str">
        <f>"03193413"</f>
        <v>03193413</v>
      </c>
      <c r="F129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93" s="1" t="str">
        <f t="shared" si="174"/>
        <v>Фізична особа</v>
      </c>
      <c r="H1293" s="1" t="s">
        <v>20</v>
      </c>
      <c r="I1293" s="1" t="s">
        <v>20</v>
      </c>
      <c r="J1293" s="1" t="str">
        <f t="shared" si="178"/>
        <v>Закрито</v>
      </c>
      <c r="K1293" s="5">
        <v>45653</v>
      </c>
      <c r="L1293" s="1" t="s">
        <v>20</v>
      </c>
      <c r="M1293" s="1" t="s">
        <v>22</v>
      </c>
      <c r="N1293" s="5">
        <v>45653</v>
      </c>
    </row>
    <row r="1294" spans="1:14" x14ac:dyDescent="0.3">
      <c r="A1294" s="1" t="str">
        <f>"25_426-11/2024/Б"</f>
        <v>25_426-11/2024/Б</v>
      </c>
      <c r="B1294" s="6">
        <v>45608</v>
      </c>
      <c r="C1294" s="1" t="str">
        <f>"00155"</f>
        <v>00155</v>
      </c>
      <c r="D1294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294" s="1" t="str">
        <f>"03193413"</f>
        <v>03193413</v>
      </c>
      <c r="F129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294" s="1" t="str">
        <f t="shared" si="174"/>
        <v>Фізична особа</v>
      </c>
      <c r="H1294" s="1" t="s">
        <v>20</v>
      </c>
      <c r="I1294" s="1" t="s">
        <v>20</v>
      </c>
      <c r="J1294" s="1" t="str">
        <f t="shared" si="178"/>
        <v>Закрито</v>
      </c>
      <c r="K1294" s="5">
        <v>45618</v>
      </c>
      <c r="L1294" s="1" t="s">
        <v>20</v>
      </c>
      <c r="M1294" s="1" t="s">
        <v>22</v>
      </c>
      <c r="N1294" s="5">
        <v>45618</v>
      </c>
    </row>
    <row r="1295" spans="1:14" x14ac:dyDescent="0.3">
      <c r="A1295" s="1" t="str">
        <f>"30_617-11/2024/П"</f>
        <v>30_617-11/2024/П</v>
      </c>
      <c r="B1295" s="6">
        <v>45608</v>
      </c>
      <c r="C1295" s="1" t="str">
        <f>"00038"</f>
        <v>00038</v>
      </c>
      <c r="D129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95" s="1" t="s">
        <v>20</v>
      </c>
      <c r="F1295" s="1" t="str">
        <f t="shared" ref="F1295:F1302" si="179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295" s="1" t="str">
        <f t="shared" ref="G1295:G1326" si="180">"Фізична особа"</f>
        <v>Фізична особа</v>
      </c>
      <c r="H1295" s="1" t="s">
        <v>20</v>
      </c>
      <c r="I1295" s="1" t="s">
        <v>20</v>
      </c>
      <c r="J1295" s="1" t="str">
        <f t="shared" si="178"/>
        <v>Закрито</v>
      </c>
      <c r="K1295" s="5">
        <v>45608</v>
      </c>
      <c r="L1295" s="1" t="s">
        <v>20</v>
      </c>
      <c r="M1295" s="1" t="s">
        <v>22</v>
      </c>
      <c r="N1295" s="5">
        <v>45608</v>
      </c>
    </row>
    <row r="1296" spans="1:14" x14ac:dyDescent="0.3">
      <c r="A1296" s="1" t="str">
        <f>"1_5777/2129-11/2024/І"</f>
        <v>1_5777/2129-11/2024/І</v>
      </c>
      <c r="B1296" s="6">
        <v>45608</v>
      </c>
      <c r="C1296" s="1" t="str">
        <f>"00038"</f>
        <v>00038</v>
      </c>
      <c r="D129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96" s="1" t="s">
        <v>20</v>
      </c>
      <c r="F1296" s="1" t="str">
        <f t="shared" si="179"/>
        <v>Центр надання адміністративних послуг Рогатинської міської ради</v>
      </c>
      <c r="G1296" s="1" t="str">
        <f t="shared" si="180"/>
        <v>Фізична особа</v>
      </c>
      <c r="H1296" s="1" t="s">
        <v>20</v>
      </c>
      <c r="I1296" s="1" t="s">
        <v>20</v>
      </c>
      <c r="J1296" s="1" t="str">
        <f t="shared" si="178"/>
        <v>Закрито</v>
      </c>
      <c r="K1296" s="6">
        <v>45608</v>
      </c>
      <c r="L1296" s="1" t="s">
        <v>20</v>
      </c>
      <c r="M1296" s="1" t="s">
        <v>22</v>
      </c>
      <c r="N1296" s="5">
        <v>45608</v>
      </c>
    </row>
    <row r="1297" spans="1:14" x14ac:dyDescent="0.3">
      <c r="A1297" s="1" t="str">
        <f>"1_5778/2129-11/2024/К"</f>
        <v>1_5778/2129-11/2024/К</v>
      </c>
      <c r="B1297" s="6">
        <v>45608</v>
      </c>
      <c r="C1297" s="1" t="str">
        <f>"00038"</f>
        <v>00038</v>
      </c>
      <c r="D129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97" s="1" t="s">
        <v>20</v>
      </c>
      <c r="F1297" s="1" t="str">
        <f t="shared" si="179"/>
        <v>Центр надання адміністративних послуг Рогатинської міської ради</v>
      </c>
      <c r="G1297" s="1" t="str">
        <f t="shared" si="180"/>
        <v>Фізична особа</v>
      </c>
      <c r="H1297" s="1" t="s">
        <v>20</v>
      </c>
      <c r="I1297" s="1" t="s">
        <v>20</v>
      </c>
      <c r="J1297" s="1" t="str">
        <f t="shared" si="178"/>
        <v>Закрито</v>
      </c>
      <c r="K1297" s="6">
        <v>45608</v>
      </c>
      <c r="L1297" s="1" t="s">
        <v>20</v>
      </c>
      <c r="M1297" s="1" t="s">
        <v>22</v>
      </c>
      <c r="N1297" s="5">
        <v>45608</v>
      </c>
    </row>
    <row r="1298" spans="1:14" x14ac:dyDescent="0.3">
      <c r="A1298" s="1" t="str">
        <f>"1_5779/2129-11/2024/Б"</f>
        <v>1_5779/2129-11/2024/Б</v>
      </c>
      <c r="B1298" s="6">
        <v>45608</v>
      </c>
      <c r="C1298" s="1" t="str">
        <f>"00038"</f>
        <v>00038</v>
      </c>
      <c r="D129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298" s="1" t="s">
        <v>20</v>
      </c>
      <c r="F1298" s="1" t="str">
        <f t="shared" si="179"/>
        <v>Центр надання адміністративних послуг Рогатинської міської ради</v>
      </c>
      <c r="G1298" s="1" t="str">
        <f t="shared" si="180"/>
        <v>Фізична особа</v>
      </c>
      <c r="H1298" s="1" t="s">
        <v>20</v>
      </c>
      <c r="I1298" s="1" t="s">
        <v>20</v>
      </c>
      <c r="J1298" s="1" t="str">
        <f t="shared" si="178"/>
        <v>Закрито</v>
      </c>
      <c r="K1298" s="6">
        <v>45608</v>
      </c>
      <c r="L1298" s="1" t="s">
        <v>20</v>
      </c>
      <c r="M1298" s="1" t="s">
        <v>22</v>
      </c>
      <c r="N1298" s="5">
        <v>45608</v>
      </c>
    </row>
    <row r="1299" spans="1:14" x14ac:dyDescent="0.3">
      <c r="A1299" s="1" t="str">
        <f>"30_618-11/2024/П"</f>
        <v>30_618-11/2024/П</v>
      </c>
      <c r="B1299" s="6">
        <v>45608</v>
      </c>
      <c r="C1299" s="1" t="str">
        <f>"33"</f>
        <v>33</v>
      </c>
      <c r="D1299" s="2" t="str">
        <f>"33 Довідки різного характеру"</f>
        <v>33 Довідки різного характеру</v>
      </c>
      <c r="E1299" s="1" t="s">
        <v>20</v>
      </c>
      <c r="F1299" s="1" t="str">
        <f t="shared" si="179"/>
        <v>Центр надання адміністративних послуг Рогатинської міської ради</v>
      </c>
      <c r="G1299" s="1" t="str">
        <f t="shared" si="180"/>
        <v>Фізична особа</v>
      </c>
      <c r="H1299" s="1" t="s">
        <v>20</v>
      </c>
      <c r="I1299" s="1" t="s">
        <v>20</v>
      </c>
      <c r="J1299" s="1" t="str">
        <f t="shared" si="178"/>
        <v>Закрито</v>
      </c>
      <c r="K1299" s="5">
        <v>45608</v>
      </c>
      <c r="L1299" s="1" t="s">
        <v>20</v>
      </c>
      <c r="M1299" s="1" t="s">
        <v>22</v>
      </c>
      <c r="N1299" s="5">
        <v>45608</v>
      </c>
    </row>
    <row r="1300" spans="1:14" x14ac:dyDescent="0.3">
      <c r="A1300" s="1" t="str">
        <f>"1_5780/2129-11/2024/К"</f>
        <v>1_5780/2129-11/2024/К</v>
      </c>
      <c r="B1300" s="6">
        <v>45608</v>
      </c>
      <c r="C1300" s="1" t="str">
        <f>"00038"</f>
        <v>00038</v>
      </c>
      <c r="D130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00" s="1" t="s">
        <v>20</v>
      </c>
      <c r="F1300" s="1" t="str">
        <f t="shared" si="179"/>
        <v>Центр надання адміністративних послуг Рогатинської міської ради</v>
      </c>
      <c r="G1300" s="1" t="str">
        <f t="shared" si="180"/>
        <v>Фізична особа</v>
      </c>
      <c r="H1300" s="1" t="s">
        <v>20</v>
      </c>
      <c r="I1300" s="1" t="s">
        <v>20</v>
      </c>
      <c r="J1300" s="1" t="str">
        <f t="shared" si="178"/>
        <v>Закрито</v>
      </c>
      <c r="K1300" s="6">
        <v>45608</v>
      </c>
      <c r="L1300" s="1" t="s">
        <v>20</v>
      </c>
      <c r="M1300" s="1" t="s">
        <v>22</v>
      </c>
      <c r="N1300" s="5">
        <v>45608</v>
      </c>
    </row>
    <row r="1301" spans="1:14" x14ac:dyDescent="0.3">
      <c r="A1301" s="1" t="str">
        <f>"1_5781/2129-11/2024/К"</f>
        <v>1_5781/2129-11/2024/К</v>
      </c>
      <c r="B1301" s="6">
        <v>45608</v>
      </c>
      <c r="C1301" s="1" t="str">
        <f>"00038"</f>
        <v>00038</v>
      </c>
      <c r="D130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01" s="1" t="s">
        <v>20</v>
      </c>
      <c r="F1301" s="1" t="str">
        <f t="shared" si="179"/>
        <v>Центр надання адміністративних послуг Рогатинської міської ради</v>
      </c>
      <c r="G1301" s="1" t="str">
        <f t="shared" si="180"/>
        <v>Фізична особа</v>
      </c>
      <c r="H1301" s="1" t="s">
        <v>20</v>
      </c>
      <c r="I1301" s="1" t="s">
        <v>20</v>
      </c>
      <c r="J1301" s="1" t="str">
        <f t="shared" si="178"/>
        <v>Закрито</v>
      </c>
      <c r="K1301" s="6">
        <v>45608</v>
      </c>
      <c r="L1301" s="1" t="s">
        <v>20</v>
      </c>
      <c r="M1301" s="1" t="s">
        <v>22</v>
      </c>
      <c r="N1301" s="5">
        <v>45608</v>
      </c>
    </row>
    <row r="1302" spans="1:14" x14ac:dyDescent="0.3">
      <c r="A1302" s="1" t="str">
        <f>"21_650-11/2024/С"</f>
        <v>21_650-11/2024/С</v>
      </c>
      <c r="B1302" s="6">
        <v>45608</v>
      </c>
      <c r="C1302" s="1" t="str">
        <f>"00038"</f>
        <v>00038</v>
      </c>
      <c r="D130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02" s="1" t="s">
        <v>20</v>
      </c>
      <c r="F1302" s="1" t="str">
        <f t="shared" si="179"/>
        <v>Центр надання адміністративних послуг Рогатинської міської ради</v>
      </c>
      <c r="G1302" s="1" t="str">
        <f t="shared" si="180"/>
        <v>Фізична особа</v>
      </c>
      <c r="H1302" s="1" t="s">
        <v>20</v>
      </c>
      <c r="I1302" s="1" t="s">
        <v>20</v>
      </c>
      <c r="J1302" s="1" t="str">
        <f t="shared" si="178"/>
        <v>Закрито</v>
      </c>
      <c r="K1302" s="5">
        <v>45608</v>
      </c>
      <c r="L1302" s="1" t="s">
        <v>20</v>
      </c>
      <c r="M1302" s="1" t="s">
        <v>22</v>
      </c>
      <c r="N1302" s="5">
        <v>45608</v>
      </c>
    </row>
    <row r="1303" spans="1:14" x14ac:dyDescent="0.3">
      <c r="A1303" s="1" t="str">
        <f>"4_1260/03193413-11/2024/Я"</f>
        <v>4_1260/03193413-11/2024/Я</v>
      </c>
      <c r="B1303" s="6">
        <v>45608</v>
      </c>
      <c r="C1303" s="1" t="str">
        <f>"01194"</f>
        <v>01194</v>
      </c>
      <c r="D1303" s="2" t="str">
        <f>"Видача дубліката посвідчення батьків багатодітної сім’ї та дитини з багатодітної сім'ї"</f>
        <v>Видача дубліката посвідчення батьків багатодітної сім’ї та дитини з багатодітної сім'ї</v>
      </c>
      <c r="E1303" s="1" t="str">
        <f>"03193413"</f>
        <v>03193413</v>
      </c>
      <c r="F130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303" s="1" t="str">
        <f t="shared" si="180"/>
        <v>Фізична особа</v>
      </c>
      <c r="H1303" s="1" t="s">
        <v>20</v>
      </c>
      <c r="I1303" s="1" t="s">
        <v>20</v>
      </c>
      <c r="J1303" s="1" t="str">
        <f t="shared" si="178"/>
        <v>Закрито</v>
      </c>
      <c r="K1303" s="5">
        <v>45629</v>
      </c>
      <c r="L1303" s="1" t="s">
        <v>20</v>
      </c>
      <c r="M1303" s="1" t="s">
        <v>22</v>
      </c>
      <c r="N1303" s="5">
        <v>45629</v>
      </c>
    </row>
    <row r="1304" spans="1:14" x14ac:dyDescent="0.3">
      <c r="A1304" s="1" t="str">
        <f>"20_169-11/2024/С"</f>
        <v>20_169-11/2024/С</v>
      </c>
      <c r="B1304" s="6">
        <v>45608</v>
      </c>
      <c r="C1304" s="1" t="str">
        <f>"33"</f>
        <v>33</v>
      </c>
      <c r="D1304" s="2" t="str">
        <f>"33 Довідки різного характеру"</f>
        <v>33 Довідки різного характеру</v>
      </c>
      <c r="E1304" s="1" t="s">
        <v>20</v>
      </c>
      <c r="F130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04" s="1" t="str">
        <f t="shared" si="180"/>
        <v>Фізична особа</v>
      </c>
      <c r="H1304" s="1" t="s">
        <v>20</v>
      </c>
      <c r="I1304" s="1" t="s">
        <v>20</v>
      </c>
      <c r="J1304" s="1" t="str">
        <f t="shared" si="178"/>
        <v>Закрито</v>
      </c>
      <c r="K1304" s="5">
        <v>45608</v>
      </c>
      <c r="L1304" s="1" t="s">
        <v>20</v>
      </c>
      <c r="M1304" s="1" t="s">
        <v>22</v>
      </c>
      <c r="N1304" s="5">
        <v>45608</v>
      </c>
    </row>
    <row r="1305" spans="1:14" x14ac:dyDescent="0.3">
      <c r="A1305" s="1" t="str">
        <f>"28_637-11/2024/Н"</f>
        <v>28_637-11/2024/Н</v>
      </c>
      <c r="B1305" s="6">
        <v>45608</v>
      </c>
      <c r="C1305" s="1" t="str">
        <f>"00038"</f>
        <v>00038</v>
      </c>
      <c r="D130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05" s="1" t="s">
        <v>20</v>
      </c>
      <c r="F130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05" s="1" t="str">
        <f t="shared" si="180"/>
        <v>Фізична особа</v>
      </c>
      <c r="H1305" s="1" t="s">
        <v>20</v>
      </c>
      <c r="I1305" s="1" t="s">
        <v>20</v>
      </c>
      <c r="J1305" s="1" t="str">
        <f t="shared" si="178"/>
        <v>Закрито</v>
      </c>
      <c r="K1305" s="5">
        <v>45608</v>
      </c>
      <c r="L1305" s="1" t="s">
        <v>20</v>
      </c>
      <c r="M1305" s="1" t="s">
        <v>22</v>
      </c>
      <c r="N1305" s="5">
        <v>45608</v>
      </c>
    </row>
    <row r="1306" spans="1:14" x14ac:dyDescent="0.3">
      <c r="A1306" s="1" t="str">
        <f>"20_170-11/2024/К"</f>
        <v>20_170-11/2024/К</v>
      </c>
      <c r="B1306" s="6">
        <v>45608</v>
      </c>
      <c r="C1306" s="1" t="str">
        <f>"00038"</f>
        <v>00038</v>
      </c>
      <c r="D130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06" s="1" t="s">
        <v>20</v>
      </c>
      <c r="F130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06" s="1" t="str">
        <f t="shared" si="180"/>
        <v>Фізична особа</v>
      </c>
      <c r="H1306" s="1" t="s">
        <v>20</v>
      </c>
      <c r="I1306" s="1" t="s">
        <v>20</v>
      </c>
      <c r="J1306" s="1" t="str">
        <f t="shared" si="178"/>
        <v>Закрито</v>
      </c>
      <c r="K1306" s="5">
        <v>45608</v>
      </c>
      <c r="L1306" s="1" t="s">
        <v>20</v>
      </c>
      <c r="M1306" s="1" t="s">
        <v>22</v>
      </c>
      <c r="N1306" s="5">
        <v>45608</v>
      </c>
    </row>
    <row r="1307" spans="1:14" x14ac:dyDescent="0.3">
      <c r="A1307" s="1" t="str">
        <f>"9_1631/04054323-11/2024/Б"</f>
        <v>9_1631/04054323-11/2024/Б</v>
      </c>
      <c r="B1307" s="6">
        <v>45608</v>
      </c>
      <c r="C1307" s="1" t="str">
        <f>"01"</f>
        <v>01</v>
      </c>
      <c r="D1307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307" s="1" t="str">
        <f>"04054323"</f>
        <v>04054323</v>
      </c>
      <c r="F1307" s="1" t="str">
        <f>"Рогатинська міська рада"</f>
        <v>Рогатинська міська рада</v>
      </c>
      <c r="G1307" s="1" t="str">
        <f t="shared" si="180"/>
        <v>Фізична особа</v>
      </c>
      <c r="H1307" s="1" t="s">
        <v>20</v>
      </c>
      <c r="I1307" s="1" t="s">
        <v>20</v>
      </c>
      <c r="J1307" s="1" t="str">
        <f t="shared" si="178"/>
        <v>Закрито</v>
      </c>
      <c r="K1307" s="5">
        <v>45637</v>
      </c>
      <c r="L1307" s="1" t="s">
        <v>20</v>
      </c>
      <c r="M1307" s="1" t="s">
        <v>22</v>
      </c>
      <c r="N1307" s="5">
        <v>45637</v>
      </c>
    </row>
    <row r="1308" spans="1:14" x14ac:dyDescent="0.3">
      <c r="A1308" s="1" t="str">
        <f>"28_638-11/2024/Н"</f>
        <v>28_638-11/2024/Н</v>
      </c>
      <c r="B1308" s="6">
        <v>45608</v>
      </c>
      <c r="C1308" s="1" t="str">
        <f>"00155"</f>
        <v>00155</v>
      </c>
      <c r="D1308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308" s="1" t="str">
        <f>"03193413"</f>
        <v>03193413</v>
      </c>
      <c r="F130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308" s="1" t="str">
        <f t="shared" si="180"/>
        <v>Фізична особа</v>
      </c>
      <c r="H1308" s="1" t="s">
        <v>20</v>
      </c>
      <c r="I1308" s="1" t="s">
        <v>20</v>
      </c>
      <c r="J1308" s="1" t="str">
        <f t="shared" si="178"/>
        <v>Закрито</v>
      </c>
      <c r="K1308" s="5">
        <v>45618</v>
      </c>
      <c r="L1308" s="1" t="s">
        <v>20</v>
      </c>
      <c r="M1308" s="1" t="s">
        <v>22</v>
      </c>
      <c r="N1308" s="5">
        <v>45618</v>
      </c>
    </row>
    <row r="1309" spans="1:14" x14ac:dyDescent="0.3">
      <c r="A1309" s="1" t="str">
        <f>"35_509-11/2024/М"</f>
        <v>35_509-11/2024/М</v>
      </c>
      <c r="B1309" s="6">
        <v>45608</v>
      </c>
      <c r="C1309" s="1" t="str">
        <f>"00244"</f>
        <v>00244</v>
      </c>
      <c r="D1309" s="2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1309" s="1" t="str">
        <f>"04054323"</f>
        <v>04054323</v>
      </c>
      <c r="F1309" s="1" t="str">
        <f>"Рогатинська міська рада"</f>
        <v>Рогатинська міська рада</v>
      </c>
      <c r="G1309" s="1" t="str">
        <f t="shared" si="180"/>
        <v>Фізична особа</v>
      </c>
      <c r="H1309" s="1" t="s">
        <v>20</v>
      </c>
      <c r="I1309" s="1" t="s">
        <v>20</v>
      </c>
      <c r="J1309" s="1" t="str">
        <f t="shared" si="178"/>
        <v>Закрито</v>
      </c>
      <c r="K1309" s="5">
        <v>45608</v>
      </c>
      <c r="L1309" s="1" t="s">
        <v>20</v>
      </c>
      <c r="M1309" s="1" t="s">
        <v>22</v>
      </c>
      <c r="N1309" s="5">
        <v>45608</v>
      </c>
    </row>
    <row r="1310" spans="1:14" x14ac:dyDescent="0.3">
      <c r="A1310" s="1" t="str">
        <f>"14_970-11/2024/І"</f>
        <v>14_970-11/2024/І</v>
      </c>
      <c r="B1310" s="6">
        <v>45608</v>
      </c>
      <c r="C1310" s="1" t="str">
        <f>"33"</f>
        <v>33</v>
      </c>
      <c r="D1310" s="2" t="str">
        <f>"33 Довідки різного характеру"</f>
        <v>33 Довідки різного характеру</v>
      </c>
      <c r="E1310" s="1" t="s">
        <v>20</v>
      </c>
      <c r="F131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10" s="1" t="str">
        <f t="shared" si="180"/>
        <v>Фізична особа</v>
      </c>
      <c r="H1310" s="1" t="s">
        <v>20</v>
      </c>
      <c r="I1310" s="1" t="s">
        <v>20</v>
      </c>
      <c r="J1310" s="1" t="str">
        <f t="shared" si="178"/>
        <v>Закрито</v>
      </c>
      <c r="K1310" s="5">
        <v>45629</v>
      </c>
      <c r="L1310" s="1" t="s">
        <v>20</v>
      </c>
      <c r="M1310" s="1" t="s">
        <v>22</v>
      </c>
      <c r="N1310" s="5">
        <v>45629</v>
      </c>
    </row>
    <row r="1311" spans="1:14" x14ac:dyDescent="0.3">
      <c r="A1311" s="1" t="str">
        <f>"14_971-11/2024/К"</f>
        <v>14_971-11/2024/К</v>
      </c>
      <c r="B1311" s="6">
        <v>45608</v>
      </c>
      <c r="C1311" s="1" t="str">
        <f>"33"</f>
        <v>33</v>
      </c>
      <c r="D1311" s="2" t="str">
        <f>"33 Довідки різного характеру"</f>
        <v>33 Довідки різного характеру</v>
      </c>
      <c r="E1311" s="1" t="s">
        <v>20</v>
      </c>
      <c r="F131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11" s="1" t="str">
        <f t="shared" si="180"/>
        <v>Фізична особа</v>
      </c>
      <c r="H1311" s="1" t="s">
        <v>20</v>
      </c>
      <c r="I1311" s="1" t="s">
        <v>20</v>
      </c>
      <c r="J1311" s="1" t="str">
        <f t="shared" si="178"/>
        <v>Закрито</v>
      </c>
      <c r="K1311" s="5">
        <v>45608</v>
      </c>
      <c r="L1311" s="1" t="s">
        <v>20</v>
      </c>
      <c r="M1311" s="1" t="s">
        <v>22</v>
      </c>
      <c r="N1311" s="5">
        <v>45608</v>
      </c>
    </row>
    <row r="1312" spans="1:14" x14ac:dyDescent="0.3">
      <c r="A1312" s="1" t="str">
        <f>"20_171-11/2024/К"</f>
        <v>20_171-11/2024/К</v>
      </c>
      <c r="B1312" s="6">
        <v>45608</v>
      </c>
      <c r="C1312" s="1" t="str">
        <f>"33"</f>
        <v>33</v>
      </c>
      <c r="D1312" s="2" t="str">
        <f>"33 Довідки різного характеру"</f>
        <v>33 Довідки різного характеру</v>
      </c>
      <c r="E1312" s="1" t="s">
        <v>20</v>
      </c>
      <c r="F131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12" s="1" t="str">
        <f t="shared" si="180"/>
        <v>Фізична особа</v>
      </c>
      <c r="H1312" s="1" t="s">
        <v>20</v>
      </c>
      <c r="I1312" s="1" t="s">
        <v>20</v>
      </c>
      <c r="J1312" s="1" t="str">
        <f t="shared" si="178"/>
        <v>Закрито</v>
      </c>
      <c r="K1312" s="5">
        <v>45608</v>
      </c>
      <c r="L1312" s="1" t="s">
        <v>20</v>
      </c>
      <c r="M1312" s="1" t="s">
        <v>22</v>
      </c>
      <c r="N1312" s="5">
        <v>45608</v>
      </c>
    </row>
    <row r="1313" spans="1:14" x14ac:dyDescent="0.3">
      <c r="A1313" s="1" t="str">
        <f>"1_5782/2129-11/2024/Т"</f>
        <v>1_5782/2129-11/2024/Т</v>
      </c>
      <c r="B1313" s="6">
        <v>45608</v>
      </c>
      <c r="C1313" s="1" t="str">
        <f>"00034"</f>
        <v>00034</v>
      </c>
      <c r="D1313" s="2" t="str">
        <f>"Реєстрація місця проживання"</f>
        <v>Реєстрація місця проживання</v>
      </c>
      <c r="E1313" s="1" t="s">
        <v>20</v>
      </c>
      <c r="F13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13" s="1" t="str">
        <f t="shared" si="180"/>
        <v>Фізична особа</v>
      </c>
      <c r="H1313" s="1" t="s">
        <v>20</v>
      </c>
      <c r="I1313" s="1" t="s">
        <v>20</v>
      </c>
      <c r="J1313" s="1" t="str">
        <f t="shared" si="178"/>
        <v>Закрито</v>
      </c>
      <c r="K1313" s="6">
        <v>45608</v>
      </c>
      <c r="L1313" s="1" t="str">
        <f>"45.42"</f>
        <v>45.42</v>
      </c>
      <c r="M1313" s="1" t="s">
        <v>22</v>
      </c>
      <c r="N1313" s="5">
        <v>45608</v>
      </c>
    </row>
    <row r="1314" spans="1:14" x14ac:dyDescent="0.3">
      <c r="A1314" s="1" t="str">
        <f>"3_1361/4-11/2024/Б"</f>
        <v>3_1361/4-11/2024/Б</v>
      </c>
      <c r="B1314" s="6">
        <v>45608</v>
      </c>
      <c r="C1314" s="1" t="str">
        <f>"00060"</f>
        <v>00060</v>
      </c>
      <c r="D1314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314" s="1" t="s">
        <v>20</v>
      </c>
      <c r="F1314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314" s="1" t="str">
        <f t="shared" si="180"/>
        <v>Фізична особа</v>
      </c>
      <c r="H1314" s="1" t="s">
        <v>20</v>
      </c>
      <c r="I1314" s="1" t="s">
        <v>20</v>
      </c>
      <c r="J1314" s="1" t="str">
        <f>"Результат підготовлено СНАП"</f>
        <v>Результат підготовлено СНАП</v>
      </c>
      <c r="K1314" s="5">
        <v>45614</v>
      </c>
      <c r="L1314" s="1" t="str">
        <f>"151.4"</f>
        <v>151.4</v>
      </c>
      <c r="M1314" s="1" t="s">
        <v>22</v>
      </c>
      <c r="N1314" s="1" t="s">
        <v>20</v>
      </c>
    </row>
    <row r="1315" spans="1:14" x14ac:dyDescent="0.3">
      <c r="A1315" s="1" t="str">
        <f>"21_651-11/2024/М"</f>
        <v>21_651-11/2024/М</v>
      </c>
      <c r="B1315" s="6">
        <v>45608</v>
      </c>
      <c r="C1315" s="1" t="str">
        <f>"33"</f>
        <v>33</v>
      </c>
      <c r="D1315" s="2" t="str">
        <f>"33 Довідки різного характеру"</f>
        <v>33 Довідки різного характеру</v>
      </c>
      <c r="E1315" s="1" t="s">
        <v>20</v>
      </c>
      <c r="F131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15" s="1" t="str">
        <f t="shared" si="180"/>
        <v>Фізична особа</v>
      </c>
      <c r="H1315" s="1" t="s">
        <v>20</v>
      </c>
      <c r="I1315" s="1" t="s">
        <v>20</v>
      </c>
      <c r="J1315" s="1" t="str">
        <f>"Закрито"</f>
        <v>Закрито</v>
      </c>
      <c r="K1315" s="1" t="s">
        <v>20</v>
      </c>
      <c r="L1315" s="1" t="s">
        <v>20</v>
      </c>
      <c r="M1315" s="1" t="s">
        <v>22</v>
      </c>
      <c r="N1315" s="1" t="s">
        <v>20</v>
      </c>
    </row>
    <row r="1316" spans="1:14" x14ac:dyDescent="0.3">
      <c r="A1316" s="1" t="str">
        <f>"3_1362/4-11/2024/Б"</f>
        <v>3_1362/4-11/2024/Б</v>
      </c>
      <c r="B1316" s="6">
        <v>45608</v>
      </c>
      <c r="C1316" s="1" t="str">
        <f>"00060"</f>
        <v>00060</v>
      </c>
      <c r="D1316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316" s="1" t="s">
        <v>20</v>
      </c>
      <c r="F1316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316" s="1" t="str">
        <f t="shared" si="180"/>
        <v>Фізична особа</v>
      </c>
      <c r="H1316" s="1" t="s">
        <v>20</v>
      </c>
      <c r="I1316" s="1" t="s">
        <v>20</v>
      </c>
      <c r="J1316" s="1" t="str">
        <f>"Результат підготовлено СНАП"</f>
        <v>Результат підготовлено СНАП</v>
      </c>
      <c r="K1316" s="5">
        <v>45614</v>
      </c>
      <c r="L1316" s="1" t="str">
        <f>"151.4"</f>
        <v>151.4</v>
      </c>
      <c r="M1316" s="1" t="s">
        <v>22</v>
      </c>
      <c r="N1316" s="1" t="s">
        <v>20</v>
      </c>
    </row>
    <row r="1317" spans="1:14" x14ac:dyDescent="0.3">
      <c r="A1317" s="1" t="str">
        <f>"1_5783/2129-11/2024/Т"</f>
        <v>1_5783/2129-11/2024/Т</v>
      </c>
      <c r="B1317" s="6">
        <v>45608</v>
      </c>
      <c r="C1317" s="1" t="str">
        <f>"00038"</f>
        <v>00038</v>
      </c>
      <c r="D131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17" s="1" t="s">
        <v>20</v>
      </c>
      <c r="F131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17" s="1" t="str">
        <f t="shared" si="180"/>
        <v>Фізична особа</v>
      </c>
      <c r="H1317" s="1" t="s">
        <v>20</v>
      </c>
      <c r="I1317" s="1" t="s">
        <v>20</v>
      </c>
      <c r="J1317" s="1" t="str">
        <f>"Закрито"</f>
        <v>Закрито</v>
      </c>
      <c r="K1317" s="6">
        <v>45608</v>
      </c>
      <c r="L1317" s="1" t="s">
        <v>20</v>
      </c>
      <c r="M1317" s="1" t="s">
        <v>22</v>
      </c>
      <c r="N1317" s="5">
        <v>45608</v>
      </c>
    </row>
    <row r="1318" spans="1:14" x14ac:dyDescent="0.3">
      <c r="A1318" s="1" t="str">
        <f>"3_1363/4-11/2024/Я"</f>
        <v>3_1363/4-11/2024/Я</v>
      </c>
      <c r="B1318" s="6">
        <v>45608</v>
      </c>
      <c r="C1318" s="1" t="str">
        <f>"00060"</f>
        <v>00060</v>
      </c>
      <c r="D1318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318" s="1" t="s">
        <v>20</v>
      </c>
      <c r="F1318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318" s="1" t="str">
        <f t="shared" si="180"/>
        <v>Фізична особа</v>
      </c>
      <c r="H1318" s="1" t="s">
        <v>20</v>
      </c>
      <c r="I1318" s="1" t="s">
        <v>20</v>
      </c>
      <c r="J1318" s="1" t="str">
        <f>"Результат підготовлено СНАП"</f>
        <v>Результат підготовлено СНАП</v>
      </c>
      <c r="K1318" s="5">
        <v>45614</v>
      </c>
      <c r="L1318" s="1" t="str">
        <f>"151.4"</f>
        <v>151.4</v>
      </c>
      <c r="M1318" s="1" t="s">
        <v>22</v>
      </c>
      <c r="N1318" s="1" t="s">
        <v>20</v>
      </c>
    </row>
    <row r="1319" spans="1:14" x14ac:dyDescent="0.3">
      <c r="A1319" s="1" t="str">
        <f>"3_1364/4-11/2024/Я"</f>
        <v>3_1364/4-11/2024/Я</v>
      </c>
      <c r="B1319" s="6">
        <v>45608</v>
      </c>
      <c r="C1319" s="1" t="str">
        <f>"00060"</f>
        <v>00060</v>
      </c>
      <c r="D1319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319" s="1" t="s">
        <v>20</v>
      </c>
      <c r="F1319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319" s="1" t="str">
        <f t="shared" si="180"/>
        <v>Фізична особа</v>
      </c>
      <c r="H1319" s="1" t="s">
        <v>20</v>
      </c>
      <c r="I1319" s="1" t="s">
        <v>20</v>
      </c>
      <c r="J1319" s="1" t="str">
        <f>"Результат підготовлено СНАП"</f>
        <v>Результат підготовлено СНАП</v>
      </c>
      <c r="K1319" s="5">
        <v>45614</v>
      </c>
      <c r="L1319" s="1" t="str">
        <f>"151.4"</f>
        <v>151.4</v>
      </c>
      <c r="M1319" s="1" t="s">
        <v>22</v>
      </c>
      <c r="N1319" s="1" t="s">
        <v>20</v>
      </c>
    </row>
    <row r="1320" spans="1:14" x14ac:dyDescent="0.3">
      <c r="A1320" s="1" t="str">
        <f>"12_857-11/2024/М"</f>
        <v>12_857-11/2024/М</v>
      </c>
      <c r="B1320" s="6">
        <v>45608</v>
      </c>
      <c r="C1320" s="1" t="str">
        <f>"00038"</f>
        <v>00038</v>
      </c>
      <c r="D132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20" s="1" t="s">
        <v>20</v>
      </c>
      <c r="F132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20" s="1" t="str">
        <f t="shared" si="180"/>
        <v>Фізична особа</v>
      </c>
      <c r="H1320" s="1" t="s">
        <v>20</v>
      </c>
      <c r="I1320" s="1" t="s">
        <v>20</v>
      </c>
      <c r="J1320" s="1" t="str">
        <f t="shared" ref="J1320:J1329" si="181">"Закрито"</f>
        <v>Закрито</v>
      </c>
      <c r="K1320" s="5">
        <v>45608</v>
      </c>
      <c r="L1320" s="1" t="s">
        <v>20</v>
      </c>
      <c r="M1320" s="1" t="s">
        <v>22</v>
      </c>
      <c r="N1320" s="5">
        <v>45608</v>
      </c>
    </row>
    <row r="1321" spans="1:14" x14ac:dyDescent="0.3">
      <c r="A1321" s="1" t="str">
        <f>"12_858-11/2024/М"</f>
        <v>12_858-11/2024/М</v>
      </c>
      <c r="B1321" s="6">
        <v>45608</v>
      </c>
      <c r="C1321" s="1" t="str">
        <f>"00038"</f>
        <v>00038</v>
      </c>
      <c r="D132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21" s="1" t="s">
        <v>20</v>
      </c>
      <c r="F132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21" s="1" t="str">
        <f t="shared" si="180"/>
        <v>Фізична особа</v>
      </c>
      <c r="H1321" s="1" t="s">
        <v>20</v>
      </c>
      <c r="I1321" s="1" t="s">
        <v>20</v>
      </c>
      <c r="J1321" s="1" t="str">
        <f t="shared" si="181"/>
        <v>Закрито</v>
      </c>
      <c r="K1321" s="5">
        <v>45608</v>
      </c>
      <c r="L1321" s="1" t="s">
        <v>20</v>
      </c>
      <c r="M1321" s="1" t="s">
        <v>22</v>
      </c>
      <c r="N1321" s="5">
        <v>45608</v>
      </c>
    </row>
    <row r="1322" spans="1:14" x14ac:dyDescent="0.3">
      <c r="A1322" s="1" t="str">
        <f>"12_859-11/2024/М"</f>
        <v>12_859-11/2024/М</v>
      </c>
      <c r="B1322" s="6">
        <v>45608</v>
      </c>
      <c r="C1322" s="1" t="str">
        <f>"00155"</f>
        <v>00155</v>
      </c>
      <c r="D1322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322" s="1" t="str">
        <f>"03193413"</f>
        <v>03193413</v>
      </c>
      <c r="F132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322" s="1" t="str">
        <f t="shared" si="180"/>
        <v>Фізична особа</v>
      </c>
      <c r="H1322" s="1" t="s">
        <v>20</v>
      </c>
      <c r="I1322" s="1" t="s">
        <v>20</v>
      </c>
      <c r="J1322" s="1" t="str">
        <f t="shared" si="181"/>
        <v>Закрито</v>
      </c>
      <c r="K1322" s="5">
        <v>45653</v>
      </c>
      <c r="L1322" s="1" t="s">
        <v>20</v>
      </c>
      <c r="M1322" s="1" t="s">
        <v>22</v>
      </c>
      <c r="N1322" s="5">
        <v>45653</v>
      </c>
    </row>
    <row r="1323" spans="1:14" x14ac:dyDescent="0.3">
      <c r="A1323" s="1" t="str">
        <f>"1_5784/2129-11/2024/Ш"</f>
        <v>1_5784/2129-11/2024/Ш</v>
      </c>
      <c r="B1323" s="6">
        <v>45608</v>
      </c>
      <c r="C1323" s="1" t="str">
        <f>"00038"</f>
        <v>00038</v>
      </c>
      <c r="D132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23" s="1" t="s">
        <v>20</v>
      </c>
      <c r="F13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23" s="1" t="str">
        <f t="shared" si="180"/>
        <v>Фізична особа</v>
      </c>
      <c r="H1323" s="1" t="s">
        <v>20</v>
      </c>
      <c r="I1323" s="1" t="s">
        <v>20</v>
      </c>
      <c r="J1323" s="1" t="str">
        <f t="shared" si="181"/>
        <v>Закрито</v>
      </c>
      <c r="K1323" s="6">
        <v>45608</v>
      </c>
      <c r="L1323" s="1" t="s">
        <v>20</v>
      </c>
      <c r="M1323" s="1" t="s">
        <v>22</v>
      </c>
      <c r="N1323" s="5">
        <v>45608</v>
      </c>
    </row>
    <row r="1324" spans="1:14" x14ac:dyDescent="0.3">
      <c r="A1324" s="1" t="str">
        <f>"15_333-11/2024/С"</f>
        <v>15_333-11/2024/С</v>
      </c>
      <c r="B1324" s="6">
        <v>45608</v>
      </c>
      <c r="C1324" s="1" t="str">
        <f>"00155"</f>
        <v>00155</v>
      </c>
      <c r="D1324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324" s="1" t="str">
        <f>"03193413"</f>
        <v>03193413</v>
      </c>
      <c r="F132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324" s="1" t="str">
        <f t="shared" si="180"/>
        <v>Фізична особа</v>
      </c>
      <c r="H1324" s="1" t="s">
        <v>20</v>
      </c>
      <c r="I1324" s="1" t="s">
        <v>20</v>
      </c>
      <c r="J1324" s="1" t="str">
        <f t="shared" si="181"/>
        <v>Закрито</v>
      </c>
      <c r="K1324" s="5">
        <v>45608</v>
      </c>
      <c r="L1324" s="1" t="s">
        <v>20</v>
      </c>
      <c r="M1324" s="1" t="s">
        <v>22</v>
      </c>
      <c r="N1324" s="5">
        <v>45608</v>
      </c>
    </row>
    <row r="1325" spans="1:14" x14ac:dyDescent="0.3">
      <c r="A1325" s="1" t="str">
        <f>"1_5785/2129-11/2024/К"</f>
        <v>1_5785/2129-11/2024/К</v>
      </c>
      <c r="B1325" s="6">
        <v>45608</v>
      </c>
      <c r="C1325" s="1" t="str">
        <f>"00038"</f>
        <v>00038</v>
      </c>
      <c r="D132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25" s="1" t="s">
        <v>20</v>
      </c>
      <c r="F132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25" s="1" t="str">
        <f t="shared" si="180"/>
        <v>Фізична особа</v>
      </c>
      <c r="H1325" s="1" t="s">
        <v>20</v>
      </c>
      <c r="I1325" s="1" t="s">
        <v>20</v>
      </c>
      <c r="J1325" s="1" t="str">
        <f t="shared" si="181"/>
        <v>Закрито</v>
      </c>
      <c r="K1325" s="6">
        <v>45608</v>
      </c>
      <c r="L1325" s="1" t="s">
        <v>20</v>
      </c>
      <c r="M1325" s="1" t="s">
        <v>22</v>
      </c>
      <c r="N1325" s="5">
        <v>45608</v>
      </c>
    </row>
    <row r="1326" spans="1:14" x14ac:dyDescent="0.3">
      <c r="A1326" s="1" t="str">
        <f>"1_5786/2129-11/2024/Т"</f>
        <v>1_5786/2129-11/2024/Т</v>
      </c>
      <c r="B1326" s="6">
        <v>45608</v>
      </c>
      <c r="C1326" s="1" t="str">
        <f>"00038"</f>
        <v>00038</v>
      </c>
      <c r="D132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26" s="1" t="s">
        <v>20</v>
      </c>
      <c r="F132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26" s="1" t="str">
        <f t="shared" si="180"/>
        <v>Фізична особа</v>
      </c>
      <c r="H1326" s="1" t="s">
        <v>20</v>
      </c>
      <c r="I1326" s="1" t="s">
        <v>20</v>
      </c>
      <c r="J1326" s="1" t="str">
        <f t="shared" si="181"/>
        <v>Закрито</v>
      </c>
      <c r="K1326" s="6">
        <v>45608</v>
      </c>
      <c r="L1326" s="1" t="s">
        <v>20</v>
      </c>
      <c r="M1326" s="1" t="s">
        <v>22</v>
      </c>
      <c r="N1326" s="5">
        <v>45608</v>
      </c>
    </row>
    <row r="1327" spans="1:14" x14ac:dyDescent="0.3">
      <c r="A1327" s="1" t="str">
        <f>"1_5787/2129-11/2024/Ж"</f>
        <v>1_5787/2129-11/2024/Ж</v>
      </c>
      <c r="B1327" s="6">
        <v>45608</v>
      </c>
      <c r="C1327" s="1" t="str">
        <f>"00038"</f>
        <v>00038</v>
      </c>
      <c r="D132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27" s="1" t="s">
        <v>20</v>
      </c>
      <c r="F132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27" s="1" t="str">
        <f t="shared" ref="G1327:G1336" si="182">"Фізична особа"</f>
        <v>Фізична особа</v>
      </c>
      <c r="H1327" s="1" t="s">
        <v>20</v>
      </c>
      <c r="I1327" s="1" t="s">
        <v>20</v>
      </c>
      <c r="J1327" s="1" t="str">
        <f t="shared" si="181"/>
        <v>Закрито</v>
      </c>
      <c r="K1327" s="6">
        <v>45608</v>
      </c>
      <c r="L1327" s="1" t="s">
        <v>20</v>
      </c>
      <c r="M1327" s="1" t="s">
        <v>22</v>
      </c>
      <c r="N1327" s="5">
        <v>45608</v>
      </c>
    </row>
    <row r="1328" spans="1:14" x14ac:dyDescent="0.3">
      <c r="A1328" s="1" t="str">
        <f>"15_334-11/2024/С"</f>
        <v>15_334-11/2024/С</v>
      </c>
      <c r="B1328" s="6">
        <v>45608</v>
      </c>
      <c r="C1328" s="1" t="str">
        <f>"00038"</f>
        <v>00038</v>
      </c>
      <c r="D132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28" s="1" t="s">
        <v>20</v>
      </c>
      <c r="F13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28" s="1" t="str">
        <f t="shared" si="182"/>
        <v>Фізична особа</v>
      </c>
      <c r="H1328" s="1" t="s">
        <v>20</v>
      </c>
      <c r="I1328" s="1" t="s">
        <v>20</v>
      </c>
      <c r="J1328" s="1" t="str">
        <f t="shared" si="181"/>
        <v>Закрито</v>
      </c>
      <c r="K1328" s="5">
        <v>45608</v>
      </c>
      <c r="L1328" s="1" t="s">
        <v>20</v>
      </c>
      <c r="M1328" s="1" t="s">
        <v>22</v>
      </c>
      <c r="N1328" s="5">
        <v>45608</v>
      </c>
    </row>
    <row r="1329" spans="1:14" x14ac:dyDescent="0.3">
      <c r="A1329" s="1" t="str">
        <f>"26_364-11/2024/С"</f>
        <v>26_364-11/2024/С</v>
      </c>
      <c r="B1329" s="6">
        <v>45608</v>
      </c>
      <c r="C1329" s="1" t="str">
        <f>"00038"</f>
        <v>00038</v>
      </c>
      <c r="D132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29" s="1" t="s">
        <v>20</v>
      </c>
      <c r="F132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29" s="1" t="str">
        <f t="shared" si="182"/>
        <v>Фізична особа</v>
      </c>
      <c r="H1329" s="1" t="s">
        <v>20</v>
      </c>
      <c r="I1329" s="1" t="s">
        <v>20</v>
      </c>
      <c r="J1329" s="1" t="str">
        <f t="shared" si="181"/>
        <v>Закрито</v>
      </c>
      <c r="K1329" s="5">
        <v>45608</v>
      </c>
      <c r="L1329" s="1" t="s">
        <v>20</v>
      </c>
      <c r="M1329" s="1" t="s">
        <v>22</v>
      </c>
      <c r="N1329" s="5">
        <v>45608</v>
      </c>
    </row>
    <row r="1330" spans="1:14" x14ac:dyDescent="0.3">
      <c r="A1330" s="1" t="str">
        <f>"26_365-11/2024/С"</f>
        <v>26_365-11/2024/С</v>
      </c>
      <c r="B1330" s="6">
        <v>45608</v>
      </c>
      <c r="C1330" s="1" t="str">
        <f>"00155"</f>
        <v>00155</v>
      </c>
      <c r="D1330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330" s="1" t="str">
        <f>"03193413"</f>
        <v>03193413</v>
      </c>
      <c r="F133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330" s="1" t="str">
        <f t="shared" si="182"/>
        <v>Фізична особа</v>
      </c>
      <c r="H1330" s="1" t="s">
        <v>20</v>
      </c>
      <c r="I1330" s="1" t="s">
        <v>20</v>
      </c>
      <c r="J1330" s="1" t="str">
        <f>"На обробці в СНАП"</f>
        <v>На обробці в СНАП</v>
      </c>
      <c r="K1330" s="1" t="s">
        <v>20</v>
      </c>
      <c r="L1330" s="1" t="s">
        <v>20</v>
      </c>
      <c r="M1330" s="1" t="s">
        <v>22</v>
      </c>
      <c r="N1330" s="1" t="s">
        <v>20</v>
      </c>
    </row>
    <row r="1331" spans="1:14" x14ac:dyDescent="0.3">
      <c r="A1331" s="1" t="str">
        <f>"1_5788/2129-11/2024/М"</f>
        <v>1_5788/2129-11/2024/М</v>
      </c>
      <c r="B1331" s="6">
        <v>45608</v>
      </c>
      <c r="C1331" s="1" t="str">
        <f>"00038"</f>
        <v>00038</v>
      </c>
      <c r="D133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31" s="1" t="s">
        <v>20</v>
      </c>
      <c r="F13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31" s="1" t="str">
        <f t="shared" si="182"/>
        <v>Фізична особа</v>
      </c>
      <c r="H1331" s="1" t="s">
        <v>20</v>
      </c>
      <c r="I1331" s="1" t="s">
        <v>20</v>
      </c>
      <c r="J1331" s="1" t="str">
        <f>"Закрито"</f>
        <v>Закрито</v>
      </c>
      <c r="K1331" s="6">
        <v>45608</v>
      </c>
      <c r="L1331" s="1" t="s">
        <v>20</v>
      </c>
      <c r="M1331" s="1" t="s">
        <v>22</v>
      </c>
      <c r="N1331" s="5">
        <v>45608</v>
      </c>
    </row>
    <row r="1332" spans="1:14" x14ac:dyDescent="0.3">
      <c r="A1332" s="1" t="str">
        <f>"1_5789/2129-11/2024/Л"</f>
        <v>1_5789/2129-11/2024/Л</v>
      </c>
      <c r="B1332" s="6">
        <v>45608</v>
      </c>
      <c r="C1332" s="1" t="str">
        <f>"00038"</f>
        <v>00038</v>
      </c>
      <c r="D133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32" s="1" t="s">
        <v>20</v>
      </c>
      <c r="F13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32" s="1" t="str">
        <f t="shared" si="182"/>
        <v>Фізична особа</v>
      </c>
      <c r="H1332" s="1" t="s">
        <v>20</v>
      </c>
      <c r="I1332" s="1" t="s">
        <v>20</v>
      </c>
      <c r="J1332" s="1" t="str">
        <f>"Закрито"</f>
        <v>Закрито</v>
      </c>
      <c r="K1332" s="6">
        <v>45608</v>
      </c>
      <c r="L1332" s="1" t="s">
        <v>20</v>
      </c>
      <c r="M1332" s="1" t="s">
        <v>22</v>
      </c>
      <c r="N1332" s="5">
        <v>45608</v>
      </c>
    </row>
    <row r="1333" spans="1:14" x14ac:dyDescent="0.3">
      <c r="A1333" s="1" t="str">
        <f>"1_5790/2129-11/2024/М"</f>
        <v>1_5790/2129-11/2024/М</v>
      </c>
      <c r="B1333" s="6">
        <v>45608</v>
      </c>
      <c r="C1333" s="1" t="str">
        <f>"00038"</f>
        <v>00038</v>
      </c>
      <c r="D133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33" s="1" t="s">
        <v>20</v>
      </c>
      <c r="F133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33" s="1" t="str">
        <f t="shared" si="182"/>
        <v>Фізична особа</v>
      </c>
      <c r="H1333" s="1" t="s">
        <v>20</v>
      </c>
      <c r="I1333" s="1" t="s">
        <v>20</v>
      </c>
      <c r="J1333" s="1" t="str">
        <f>"Закрито"</f>
        <v>Закрито</v>
      </c>
      <c r="K1333" s="6">
        <v>45608</v>
      </c>
      <c r="L1333" s="1" t="s">
        <v>20</v>
      </c>
      <c r="M1333" s="1" t="s">
        <v>22</v>
      </c>
      <c r="N1333" s="5">
        <v>45608</v>
      </c>
    </row>
    <row r="1334" spans="1:14" x14ac:dyDescent="0.3">
      <c r="A1334" s="1" t="str">
        <f>"26_366-11/2024/С"</f>
        <v>26_366-11/2024/С</v>
      </c>
      <c r="B1334" s="6">
        <v>45608</v>
      </c>
      <c r="C1334" s="1" t="str">
        <f>"33"</f>
        <v>33</v>
      </c>
      <c r="D1334" s="2" t="str">
        <f>"33 Довідки різного характеру"</f>
        <v>33 Довідки різного характеру</v>
      </c>
      <c r="E1334" s="1" t="s">
        <v>20</v>
      </c>
      <c r="F13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34" s="1" t="str">
        <f t="shared" si="182"/>
        <v>Фізична особа</v>
      </c>
      <c r="H1334" s="1" t="s">
        <v>20</v>
      </c>
      <c r="I1334" s="1" t="s">
        <v>20</v>
      </c>
      <c r="J1334" s="1" t="str">
        <f>"Закрито"</f>
        <v>Закрито</v>
      </c>
      <c r="K1334" s="5">
        <v>45608</v>
      </c>
      <c r="L1334" s="1" t="s">
        <v>20</v>
      </c>
      <c r="M1334" s="1" t="s">
        <v>22</v>
      </c>
      <c r="N1334" s="5">
        <v>45608</v>
      </c>
    </row>
    <row r="1335" spans="1:14" x14ac:dyDescent="0.3">
      <c r="A1335" s="1" t="str">
        <f>"9_1632/04054323-11/2024/Ч"</f>
        <v>9_1632/04054323-11/2024/Ч</v>
      </c>
      <c r="B1335" s="6">
        <v>45608</v>
      </c>
      <c r="C1335" s="1" t="str">
        <f>"01-1"</f>
        <v>01-1</v>
      </c>
      <c r="D1335" s="2" t="s">
        <v>0</v>
      </c>
      <c r="E1335" s="1" t="str">
        <f>"04054323"</f>
        <v>04054323</v>
      </c>
      <c r="F1335" s="1" t="str">
        <f>"Рогатинська міська рада"</f>
        <v>Рогатинська міська рада</v>
      </c>
      <c r="G1335" s="1" t="str">
        <f t="shared" si="182"/>
        <v>Фізична особа</v>
      </c>
      <c r="H1335" s="1" t="s">
        <v>20</v>
      </c>
      <c r="I1335" s="1" t="s">
        <v>20</v>
      </c>
      <c r="J1335" s="1" t="str">
        <f>"Закрито"</f>
        <v>Закрито</v>
      </c>
      <c r="K1335" s="5">
        <v>45637</v>
      </c>
      <c r="L1335" s="1" t="s">
        <v>20</v>
      </c>
      <c r="M1335" s="1" t="s">
        <v>22</v>
      </c>
      <c r="N1335" s="5">
        <v>45637</v>
      </c>
    </row>
    <row r="1336" spans="1:14" x14ac:dyDescent="0.3">
      <c r="A1336" s="1" t="str">
        <f>"26_367-11/2024/Д"</f>
        <v>26_367-11/2024/Д</v>
      </c>
      <c r="B1336" s="6">
        <v>45608</v>
      </c>
      <c r="C1336" s="1" t="str">
        <f>"00155"</f>
        <v>00155</v>
      </c>
      <c r="D1336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336" s="1" t="str">
        <f>"03193413"</f>
        <v>03193413</v>
      </c>
      <c r="F133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336" s="1" t="str">
        <f t="shared" si="182"/>
        <v>Фізична особа</v>
      </c>
      <c r="H1336" s="1" t="s">
        <v>20</v>
      </c>
      <c r="I1336" s="1" t="s">
        <v>20</v>
      </c>
      <c r="J1336" s="1" t="str">
        <f>"На обробці в СНАП"</f>
        <v>На обробці в СНАП</v>
      </c>
      <c r="K1336" s="1" t="s">
        <v>20</v>
      </c>
      <c r="L1336" s="1" t="s">
        <v>20</v>
      </c>
      <c r="M1336" s="1" t="s">
        <v>22</v>
      </c>
      <c r="N1336" s="1" t="s">
        <v>20</v>
      </c>
    </row>
    <row r="1337" spans="1:14" x14ac:dyDescent="0.3">
      <c r="A1337" s="1" t="str">
        <f>"1_5791/2129-11/2024/І"</f>
        <v>1_5791/2129-11/2024/І</v>
      </c>
      <c r="B1337" s="6">
        <v>45608</v>
      </c>
      <c r="C1337" s="1" t="str">
        <f>"33"</f>
        <v>33</v>
      </c>
      <c r="D1337" s="2" t="str">
        <f>"33 Довідки різного характеру"</f>
        <v>33 Довідки різного характеру</v>
      </c>
      <c r="E1337" s="1" t="s">
        <v>20</v>
      </c>
      <c r="F133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37" s="1" t="str">
        <f>"Юридична особа"</f>
        <v>Юридична особа</v>
      </c>
      <c r="H1337" s="1" t="str">
        <f>"Івано-Франківський районний сектор №3 філії ДУ ""Центр пробації"" в Івано-Франківській області"</f>
        <v>Івано-Франківський районний сектор №3 філії ДУ "Центр пробації" в Івано-Франківській області</v>
      </c>
      <c r="I1337" s="1" t="s">
        <v>20</v>
      </c>
      <c r="J1337" s="1" t="str">
        <f t="shared" ref="J1337:J1372" si="183">"Закрито"</f>
        <v>Закрито</v>
      </c>
      <c r="K1337" s="6">
        <v>45608</v>
      </c>
      <c r="L1337" s="1" t="s">
        <v>20</v>
      </c>
      <c r="M1337" s="1" t="s">
        <v>22</v>
      </c>
      <c r="N1337" s="5">
        <v>45608</v>
      </c>
    </row>
    <row r="1338" spans="1:14" x14ac:dyDescent="0.3">
      <c r="A1338" s="1" t="str">
        <f>"3_1365/4-11/2024/Б"</f>
        <v>3_1365/4-11/2024/Б</v>
      </c>
      <c r="B1338" s="6">
        <v>45608</v>
      </c>
      <c r="C1338" s="1" t="str">
        <f>"00068"</f>
        <v>00068</v>
      </c>
      <c r="D1338" s="2" t="str">
        <f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1338" s="1" t="s">
        <v>20</v>
      </c>
      <c r="F1338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338" s="1" t="str">
        <f t="shared" ref="G1338:G1384" si="184">"Фізична особа"</f>
        <v>Фізична особа</v>
      </c>
      <c r="H1338" s="1" t="s">
        <v>20</v>
      </c>
      <c r="I1338" s="1" t="s">
        <v>20</v>
      </c>
      <c r="J1338" s="1" t="str">
        <f t="shared" si="183"/>
        <v>Закрито</v>
      </c>
      <c r="K1338" s="5">
        <v>45608</v>
      </c>
      <c r="L1338" s="1" t="s">
        <v>20</v>
      </c>
      <c r="M1338" s="1" t="s">
        <v>22</v>
      </c>
      <c r="N1338" s="5">
        <v>45608</v>
      </c>
    </row>
    <row r="1339" spans="1:14" x14ac:dyDescent="0.3">
      <c r="A1339" s="1" t="str">
        <f>"3_1366/4-11/2024/К"</f>
        <v>3_1366/4-11/2024/К</v>
      </c>
      <c r="B1339" s="6">
        <v>45608</v>
      </c>
      <c r="C1339" s="1" t="str">
        <f>"00060"</f>
        <v>00060</v>
      </c>
      <c r="D1339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339" s="1" t="s">
        <v>20</v>
      </c>
      <c r="F1339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339" s="1" t="str">
        <f t="shared" si="184"/>
        <v>Фізична особа</v>
      </c>
      <c r="H1339" s="1" t="s">
        <v>20</v>
      </c>
      <c r="I1339" s="1" t="s">
        <v>20</v>
      </c>
      <c r="J1339" s="1" t="str">
        <f t="shared" si="183"/>
        <v>Закрито</v>
      </c>
      <c r="K1339" s="5">
        <v>45608</v>
      </c>
      <c r="L1339" s="1" t="s">
        <v>20</v>
      </c>
      <c r="M1339" s="1" t="s">
        <v>22</v>
      </c>
      <c r="N1339" s="5">
        <v>45608</v>
      </c>
    </row>
    <row r="1340" spans="1:14" x14ac:dyDescent="0.3">
      <c r="A1340" s="1" t="str">
        <f>"26_368-11/2024/Д"</f>
        <v>26_368-11/2024/Д</v>
      </c>
      <c r="B1340" s="6">
        <v>45608</v>
      </c>
      <c r="C1340" s="1" t="str">
        <f>"00038"</f>
        <v>00038</v>
      </c>
      <c r="D134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40" s="1" t="s">
        <v>20</v>
      </c>
      <c r="F134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40" s="1" t="str">
        <f t="shared" si="184"/>
        <v>Фізична особа</v>
      </c>
      <c r="H1340" s="1" t="s">
        <v>20</v>
      </c>
      <c r="I1340" s="1" t="s">
        <v>20</v>
      </c>
      <c r="J1340" s="1" t="str">
        <f t="shared" si="183"/>
        <v>Закрито</v>
      </c>
      <c r="K1340" s="5">
        <v>45608</v>
      </c>
      <c r="L1340" s="1" t="s">
        <v>20</v>
      </c>
      <c r="M1340" s="1" t="s">
        <v>22</v>
      </c>
      <c r="N1340" s="5">
        <v>45608</v>
      </c>
    </row>
    <row r="1341" spans="1:14" x14ac:dyDescent="0.3">
      <c r="A1341" s="1" t="str">
        <f>"30_619-11/2024/С"</f>
        <v>30_619-11/2024/С</v>
      </c>
      <c r="B1341" s="6">
        <v>45608</v>
      </c>
      <c r="C1341" s="1" t="str">
        <f>"00155"</f>
        <v>00155</v>
      </c>
      <c r="D1341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341" s="1" t="str">
        <f>"03193413"</f>
        <v>03193413</v>
      </c>
      <c r="F134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341" s="1" t="str">
        <f t="shared" si="184"/>
        <v>Фізична особа</v>
      </c>
      <c r="H1341" s="1" t="s">
        <v>20</v>
      </c>
      <c r="I1341" s="1" t="s">
        <v>20</v>
      </c>
      <c r="J1341" s="1" t="str">
        <f t="shared" si="183"/>
        <v>Закрито</v>
      </c>
      <c r="K1341" s="1" t="s">
        <v>20</v>
      </c>
      <c r="L1341" s="1" t="s">
        <v>20</v>
      </c>
      <c r="M1341" s="1" t="s">
        <v>22</v>
      </c>
      <c r="N1341" s="1" t="s">
        <v>20</v>
      </c>
    </row>
    <row r="1342" spans="1:14" x14ac:dyDescent="0.3">
      <c r="A1342" s="1" t="str">
        <f>"3_840-11/2024/С"</f>
        <v>3_840-11/2024/С</v>
      </c>
      <c r="B1342" s="6">
        <v>45608</v>
      </c>
      <c r="C1342" s="1" t="str">
        <f>"33"</f>
        <v>33</v>
      </c>
      <c r="D1342" s="2" t="str">
        <f>"33 Довідки різного характеру"</f>
        <v>33 Довідки різного характеру</v>
      </c>
      <c r="E1342" s="1" t="s">
        <v>20</v>
      </c>
      <c r="F134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42" s="1" t="str">
        <f t="shared" si="184"/>
        <v>Фізична особа</v>
      </c>
      <c r="H1342" s="1" t="s">
        <v>20</v>
      </c>
      <c r="I1342" s="1" t="s">
        <v>20</v>
      </c>
      <c r="J1342" s="1" t="str">
        <f t="shared" si="183"/>
        <v>Закрито</v>
      </c>
      <c r="K1342" s="5">
        <v>45608</v>
      </c>
      <c r="L1342" s="1" t="s">
        <v>20</v>
      </c>
      <c r="M1342" s="1" t="s">
        <v>22</v>
      </c>
      <c r="N1342" s="5">
        <v>45608</v>
      </c>
    </row>
    <row r="1343" spans="1:14" x14ac:dyDescent="0.3">
      <c r="A1343" s="1" t="str">
        <f>"16_671-11/2024/К"</f>
        <v>16_671-11/2024/К</v>
      </c>
      <c r="B1343" s="6">
        <v>45608</v>
      </c>
      <c r="C1343" s="1" t="str">
        <f>"33"</f>
        <v>33</v>
      </c>
      <c r="D1343" s="2" t="str">
        <f>"33 Довідки різного характеру"</f>
        <v>33 Довідки різного характеру</v>
      </c>
      <c r="E1343" s="1" t="s">
        <v>20</v>
      </c>
      <c r="F134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43" s="1" t="str">
        <f t="shared" si="184"/>
        <v>Фізична особа</v>
      </c>
      <c r="H1343" s="1" t="s">
        <v>20</v>
      </c>
      <c r="I1343" s="1" t="s">
        <v>20</v>
      </c>
      <c r="J1343" s="1" t="str">
        <f t="shared" si="183"/>
        <v>Закрито</v>
      </c>
      <c r="K1343" s="5">
        <v>45608</v>
      </c>
      <c r="L1343" s="1" t="s">
        <v>20</v>
      </c>
      <c r="M1343" s="1" t="s">
        <v>22</v>
      </c>
      <c r="N1343" s="5">
        <v>45608</v>
      </c>
    </row>
    <row r="1344" spans="1:14" x14ac:dyDescent="0.3">
      <c r="A1344" s="1" t="str">
        <f>"16_672-11/2024/К"</f>
        <v>16_672-11/2024/К</v>
      </c>
      <c r="B1344" s="6">
        <v>45608</v>
      </c>
      <c r="C1344" s="1" t="str">
        <f>"00133"</f>
        <v>00133</v>
      </c>
      <c r="D1344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344" s="1" t="str">
        <f>"03193413"</f>
        <v>03193413</v>
      </c>
      <c r="F134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344" s="1" t="str">
        <f t="shared" si="184"/>
        <v>Фізична особа</v>
      </c>
      <c r="H1344" s="1" t="s">
        <v>20</v>
      </c>
      <c r="I1344" s="1" t="s">
        <v>20</v>
      </c>
      <c r="J1344" s="1" t="str">
        <f t="shared" si="183"/>
        <v>Закрито</v>
      </c>
      <c r="K1344" s="5">
        <v>45652</v>
      </c>
      <c r="L1344" s="1" t="s">
        <v>20</v>
      </c>
      <c r="M1344" s="1" t="s">
        <v>22</v>
      </c>
      <c r="N1344" s="5">
        <v>45653</v>
      </c>
    </row>
    <row r="1345" spans="1:14" x14ac:dyDescent="0.3">
      <c r="A1345" s="1" t="str">
        <f>"1_5792/2129-11/2024/Г"</f>
        <v>1_5792/2129-11/2024/Г</v>
      </c>
      <c r="B1345" s="6">
        <v>45608</v>
      </c>
      <c r="C1345" s="1" t="str">
        <f>"00038"</f>
        <v>00038</v>
      </c>
      <c r="D134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45" s="1" t="s">
        <v>20</v>
      </c>
      <c r="F134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45" s="1" t="str">
        <f t="shared" si="184"/>
        <v>Фізична особа</v>
      </c>
      <c r="H1345" s="1" t="s">
        <v>20</v>
      </c>
      <c r="I1345" s="1" t="s">
        <v>20</v>
      </c>
      <c r="J1345" s="1" t="str">
        <f t="shared" si="183"/>
        <v>Закрито</v>
      </c>
      <c r="K1345" s="6">
        <v>45608</v>
      </c>
      <c r="L1345" s="1" t="s">
        <v>20</v>
      </c>
      <c r="M1345" s="1" t="s">
        <v>22</v>
      </c>
      <c r="N1345" s="5">
        <v>45608</v>
      </c>
    </row>
    <row r="1346" spans="1:14" x14ac:dyDescent="0.3">
      <c r="A1346" s="1" t="str">
        <f>"1_5793/2129-11/2024/К"</f>
        <v>1_5793/2129-11/2024/К</v>
      </c>
      <c r="B1346" s="6">
        <v>45608</v>
      </c>
      <c r="C1346" s="1" t="str">
        <f>"00038"</f>
        <v>00038</v>
      </c>
      <c r="D134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46" s="1" t="s">
        <v>20</v>
      </c>
      <c r="F134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46" s="1" t="str">
        <f t="shared" si="184"/>
        <v>Фізична особа</v>
      </c>
      <c r="H1346" s="1" t="s">
        <v>20</v>
      </c>
      <c r="I1346" s="1" t="s">
        <v>20</v>
      </c>
      <c r="J1346" s="1" t="str">
        <f t="shared" si="183"/>
        <v>Закрито</v>
      </c>
      <c r="K1346" s="6">
        <v>45608</v>
      </c>
      <c r="L1346" s="1" t="s">
        <v>20</v>
      </c>
      <c r="M1346" s="1" t="s">
        <v>22</v>
      </c>
      <c r="N1346" s="5">
        <v>45608</v>
      </c>
    </row>
    <row r="1347" spans="1:14" x14ac:dyDescent="0.3">
      <c r="A1347" s="1" t="str">
        <f>"1_5794/2129-11/2024/Б"</f>
        <v>1_5794/2129-11/2024/Б</v>
      </c>
      <c r="B1347" s="6">
        <v>45608</v>
      </c>
      <c r="C1347" s="1" t="str">
        <f>"00038"</f>
        <v>00038</v>
      </c>
      <c r="D134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47" s="1" t="s">
        <v>20</v>
      </c>
      <c r="F134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47" s="1" t="str">
        <f t="shared" si="184"/>
        <v>Фізична особа</v>
      </c>
      <c r="H1347" s="1" t="s">
        <v>20</v>
      </c>
      <c r="I1347" s="1" t="s">
        <v>20</v>
      </c>
      <c r="J1347" s="1" t="str">
        <f t="shared" si="183"/>
        <v>Закрито</v>
      </c>
      <c r="K1347" s="6">
        <v>45608</v>
      </c>
      <c r="L1347" s="1" t="s">
        <v>20</v>
      </c>
      <c r="M1347" s="1" t="s">
        <v>22</v>
      </c>
      <c r="N1347" s="5">
        <v>45608</v>
      </c>
    </row>
    <row r="1348" spans="1:14" x14ac:dyDescent="0.3">
      <c r="A1348" s="1" t="str">
        <f>"16_673-11/2024/Г"</f>
        <v>16_673-11/2024/Г</v>
      </c>
      <c r="B1348" s="6">
        <v>45608</v>
      </c>
      <c r="C1348" s="1" t="str">
        <f>"33"</f>
        <v>33</v>
      </c>
      <c r="D1348" s="2" t="str">
        <f>"33 Довідки різного характеру"</f>
        <v>33 Довідки різного характеру</v>
      </c>
      <c r="E1348" s="1" t="s">
        <v>20</v>
      </c>
      <c r="F134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48" s="1" t="str">
        <f t="shared" si="184"/>
        <v>Фізична особа</v>
      </c>
      <c r="H1348" s="1" t="s">
        <v>20</v>
      </c>
      <c r="I1348" s="1" t="s">
        <v>20</v>
      </c>
      <c r="J1348" s="1" t="str">
        <f t="shared" si="183"/>
        <v>Закрито</v>
      </c>
      <c r="K1348" s="5">
        <v>45608</v>
      </c>
      <c r="L1348" s="1" t="s">
        <v>20</v>
      </c>
      <c r="M1348" s="1" t="s">
        <v>22</v>
      </c>
      <c r="N1348" s="5">
        <v>45608</v>
      </c>
    </row>
    <row r="1349" spans="1:14" x14ac:dyDescent="0.3">
      <c r="A1349" s="1" t="str">
        <f>"3_841-11/2024/В"</f>
        <v>3_841-11/2024/В</v>
      </c>
      <c r="B1349" s="6">
        <v>45608</v>
      </c>
      <c r="C1349" s="1" t="str">
        <f>"00038"</f>
        <v>00038</v>
      </c>
      <c r="D134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49" s="1" t="s">
        <v>20</v>
      </c>
      <c r="F134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49" s="1" t="str">
        <f t="shared" si="184"/>
        <v>Фізична особа</v>
      </c>
      <c r="H1349" s="1" t="s">
        <v>20</v>
      </c>
      <c r="I1349" s="1" t="s">
        <v>20</v>
      </c>
      <c r="J1349" s="1" t="str">
        <f t="shared" si="183"/>
        <v>Закрито</v>
      </c>
      <c r="K1349" s="5">
        <v>45608</v>
      </c>
      <c r="L1349" s="1" t="s">
        <v>20</v>
      </c>
      <c r="M1349" s="1" t="s">
        <v>22</v>
      </c>
      <c r="N1349" s="5">
        <v>45608</v>
      </c>
    </row>
    <row r="1350" spans="1:14" x14ac:dyDescent="0.3">
      <c r="A1350" s="1" t="str">
        <f>"4_1261/03193413-11/2024/Г"</f>
        <v>4_1261/03193413-11/2024/Г</v>
      </c>
      <c r="B1350" s="6">
        <v>45608</v>
      </c>
      <c r="C1350" s="1" t="str">
        <f>"00155"</f>
        <v>00155</v>
      </c>
      <c r="D1350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350" s="1" t="str">
        <f>"03193413"</f>
        <v>03193413</v>
      </c>
      <c r="F135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350" s="1" t="str">
        <f t="shared" si="184"/>
        <v>Фізична особа</v>
      </c>
      <c r="H1350" s="1" t="s">
        <v>20</v>
      </c>
      <c r="I1350" s="1" t="s">
        <v>20</v>
      </c>
      <c r="J1350" s="1" t="str">
        <f t="shared" si="183"/>
        <v>Закрито</v>
      </c>
      <c r="K1350" s="5">
        <v>45622</v>
      </c>
      <c r="L1350" s="1" t="s">
        <v>20</v>
      </c>
      <c r="M1350" s="1" t="s">
        <v>22</v>
      </c>
      <c r="N1350" s="5">
        <v>45622</v>
      </c>
    </row>
    <row r="1351" spans="1:14" x14ac:dyDescent="0.3">
      <c r="A1351" s="1" t="str">
        <f>"16_674-11/2024/Б"</f>
        <v>16_674-11/2024/Б</v>
      </c>
      <c r="B1351" s="6">
        <v>45608</v>
      </c>
      <c r="C1351" s="1" t="str">
        <f>"00038"</f>
        <v>00038</v>
      </c>
      <c r="D135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51" s="1" t="s">
        <v>20</v>
      </c>
      <c r="F13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51" s="1" t="str">
        <f t="shared" si="184"/>
        <v>Фізична особа</v>
      </c>
      <c r="H1351" s="1" t="s">
        <v>20</v>
      </c>
      <c r="I1351" s="1" t="s">
        <v>20</v>
      </c>
      <c r="J1351" s="1" t="str">
        <f t="shared" si="183"/>
        <v>Закрито</v>
      </c>
      <c r="K1351" s="5">
        <v>45608</v>
      </c>
      <c r="L1351" s="1" t="s">
        <v>20</v>
      </c>
      <c r="M1351" s="1" t="s">
        <v>22</v>
      </c>
      <c r="N1351" s="5">
        <v>45608</v>
      </c>
    </row>
    <row r="1352" spans="1:14" x14ac:dyDescent="0.3">
      <c r="A1352" s="1" t="str">
        <f>"1_5795/2129-11/2024/Ш"</f>
        <v>1_5795/2129-11/2024/Ш</v>
      </c>
      <c r="B1352" s="6">
        <v>45608</v>
      </c>
      <c r="C1352" s="1" t="str">
        <f>"00038"</f>
        <v>00038</v>
      </c>
      <c r="D135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52" s="1" t="s">
        <v>20</v>
      </c>
      <c r="F13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52" s="1" t="str">
        <f t="shared" si="184"/>
        <v>Фізична особа</v>
      </c>
      <c r="H1352" s="1" t="s">
        <v>20</v>
      </c>
      <c r="I1352" s="1" t="s">
        <v>20</v>
      </c>
      <c r="J1352" s="1" t="str">
        <f t="shared" si="183"/>
        <v>Закрито</v>
      </c>
      <c r="K1352" s="6">
        <v>45608</v>
      </c>
      <c r="L1352" s="1" t="s">
        <v>20</v>
      </c>
      <c r="M1352" s="1" t="s">
        <v>22</v>
      </c>
      <c r="N1352" s="5">
        <v>45608</v>
      </c>
    </row>
    <row r="1353" spans="1:14" x14ac:dyDescent="0.3">
      <c r="A1353" s="1" t="str">
        <f>"1_5796/2129-11/2024/О"</f>
        <v>1_5796/2129-11/2024/О</v>
      </c>
      <c r="B1353" s="6">
        <v>45608</v>
      </c>
      <c r="C1353" s="1" t="str">
        <f>"00038"</f>
        <v>00038</v>
      </c>
      <c r="D135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53" s="1" t="s">
        <v>20</v>
      </c>
      <c r="F13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53" s="1" t="str">
        <f t="shared" si="184"/>
        <v>Фізична особа</v>
      </c>
      <c r="H1353" s="1" t="s">
        <v>20</v>
      </c>
      <c r="I1353" s="1" t="s">
        <v>20</v>
      </c>
      <c r="J1353" s="1" t="str">
        <f t="shared" si="183"/>
        <v>Закрито</v>
      </c>
      <c r="K1353" s="6">
        <v>45608</v>
      </c>
      <c r="L1353" s="1" t="s">
        <v>20</v>
      </c>
      <c r="M1353" s="1" t="s">
        <v>22</v>
      </c>
      <c r="N1353" s="5">
        <v>45608</v>
      </c>
    </row>
    <row r="1354" spans="1:14" x14ac:dyDescent="0.3">
      <c r="A1354" s="1" t="str">
        <f>"1_5797/2129-11/2024/О"</f>
        <v>1_5797/2129-11/2024/О</v>
      </c>
      <c r="B1354" s="6">
        <v>45608</v>
      </c>
      <c r="C1354" s="1" t="str">
        <f>"00038"</f>
        <v>00038</v>
      </c>
      <c r="D135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54" s="1" t="s">
        <v>20</v>
      </c>
      <c r="F135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54" s="1" t="str">
        <f t="shared" si="184"/>
        <v>Фізична особа</v>
      </c>
      <c r="H1354" s="1" t="s">
        <v>20</v>
      </c>
      <c r="I1354" s="1" t="s">
        <v>20</v>
      </c>
      <c r="J1354" s="1" t="str">
        <f t="shared" si="183"/>
        <v>Закрито</v>
      </c>
      <c r="K1354" s="6">
        <v>45608</v>
      </c>
      <c r="L1354" s="1" t="s">
        <v>20</v>
      </c>
      <c r="M1354" s="1" t="s">
        <v>22</v>
      </c>
      <c r="N1354" s="5">
        <v>45608</v>
      </c>
    </row>
    <row r="1355" spans="1:14" x14ac:dyDescent="0.3">
      <c r="A1355" s="1" t="str">
        <f>"28_639-11/2024/З"</f>
        <v>28_639-11/2024/З</v>
      </c>
      <c r="B1355" s="6">
        <v>45608</v>
      </c>
      <c r="C1355" s="1" t="str">
        <f>"00038"</f>
        <v>00038</v>
      </c>
      <c r="D135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55" s="1" t="s">
        <v>20</v>
      </c>
      <c r="F135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55" s="1" t="str">
        <f t="shared" si="184"/>
        <v>Фізична особа</v>
      </c>
      <c r="H1355" s="1" t="s">
        <v>20</v>
      </c>
      <c r="I1355" s="1" t="s">
        <v>20</v>
      </c>
      <c r="J1355" s="1" t="str">
        <f t="shared" si="183"/>
        <v>Закрито</v>
      </c>
      <c r="K1355" s="5">
        <v>45608</v>
      </c>
      <c r="L1355" s="1" t="s">
        <v>20</v>
      </c>
      <c r="M1355" s="1" t="s">
        <v>22</v>
      </c>
      <c r="N1355" s="5">
        <v>45608</v>
      </c>
    </row>
    <row r="1356" spans="1:14" x14ac:dyDescent="0.3">
      <c r="A1356" s="1" t="str">
        <f>"25_427-11/2024/З"</f>
        <v>25_427-11/2024/З</v>
      </c>
      <c r="B1356" s="6">
        <v>45608</v>
      </c>
      <c r="C1356" s="1" t="str">
        <f>"00064"</f>
        <v>00064</v>
      </c>
      <c r="D1356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356" s="1" t="s">
        <v>20</v>
      </c>
      <c r="F1356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356" s="1" t="str">
        <f t="shared" si="184"/>
        <v>Фізична особа</v>
      </c>
      <c r="H1356" s="1" t="s">
        <v>20</v>
      </c>
      <c r="I1356" s="1" t="s">
        <v>20</v>
      </c>
      <c r="J1356" s="1" t="str">
        <f t="shared" si="183"/>
        <v>Закрито</v>
      </c>
      <c r="K1356" s="5">
        <v>45608</v>
      </c>
      <c r="L1356" s="1" t="s">
        <v>20</v>
      </c>
      <c r="M1356" s="1" t="s">
        <v>22</v>
      </c>
      <c r="N1356" s="5">
        <v>45608</v>
      </c>
    </row>
    <row r="1357" spans="1:14" x14ac:dyDescent="0.3">
      <c r="A1357" s="1" t="str">
        <f>"5_497/2129-11/2024/Я"</f>
        <v>5_497/2129-11/2024/Я</v>
      </c>
      <c r="B1357" s="6">
        <v>45608</v>
      </c>
      <c r="C1357" s="1" t="str">
        <f>"00038"</f>
        <v>00038</v>
      </c>
      <c r="D135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57" s="1" t="s">
        <v>20</v>
      </c>
      <c r="F13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57" s="1" t="str">
        <f t="shared" si="184"/>
        <v>Фізична особа</v>
      </c>
      <c r="H1357" s="1" t="s">
        <v>20</v>
      </c>
      <c r="I1357" s="1" t="s">
        <v>20</v>
      </c>
      <c r="J1357" s="1" t="str">
        <f t="shared" si="183"/>
        <v>Закрито</v>
      </c>
      <c r="K1357" s="5">
        <v>45608</v>
      </c>
      <c r="L1357" s="1" t="s">
        <v>20</v>
      </c>
      <c r="M1357" s="1" t="s">
        <v>22</v>
      </c>
      <c r="N1357" s="5">
        <v>45608</v>
      </c>
    </row>
    <row r="1358" spans="1:14" x14ac:dyDescent="0.3">
      <c r="A1358" s="1" t="str">
        <f>"28_640-11/2024/З"</f>
        <v>28_640-11/2024/З</v>
      </c>
      <c r="B1358" s="6">
        <v>45608</v>
      </c>
      <c r="C1358" s="1" t="str">
        <f>"00038"</f>
        <v>00038</v>
      </c>
      <c r="D135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58" s="1" t="s">
        <v>20</v>
      </c>
      <c r="F135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58" s="1" t="str">
        <f t="shared" si="184"/>
        <v>Фізична особа</v>
      </c>
      <c r="H1358" s="1" t="s">
        <v>20</v>
      </c>
      <c r="I1358" s="1" t="s">
        <v>20</v>
      </c>
      <c r="J1358" s="1" t="str">
        <f t="shared" si="183"/>
        <v>Закрито</v>
      </c>
      <c r="K1358" s="5">
        <v>45608</v>
      </c>
      <c r="L1358" s="1" t="s">
        <v>20</v>
      </c>
      <c r="M1358" s="1" t="s">
        <v>22</v>
      </c>
      <c r="N1358" s="5">
        <v>45608</v>
      </c>
    </row>
    <row r="1359" spans="1:14" x14ac:dyDescent="0.3">
      <c r="A1359" s="1" t="str">
        <f>"4_1262/03193413-11/2024/Є"</f>
        <v>4_1262/03193413-11/2024/Є</v>
      </c>
      <c r="B1359" s="6">
        <v>45608</v>
      </c>
      <c r="C1359" s="1" t="str">
        <f>"01974"</f>
        <v>01974</v>
      </c>
      <c r="D1359" s="2" t="str">
        <f>"Призначення пільги на оплату житла, комунальних послуг"</f>
        <v>Призначення пільги на оплату житла, комунальних послуг</v>
      </c>
      <c r="E1359" s="1" t="str">
        <f>"03193413"</f>
        <v>03193413</v>
      </c>
      <c r="F135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359" s="1" t="str">
        <f t="shared" si="184"/>
        <v>Фізична особа</v>
      </c>
      <c r="H1359" s="1" t="s">
        <v>20</v>
      </c>
      <c r="I1359" s="1" t="s">
        <v>20</v>
      </c>
      <c r="J1359" s="1" t="str">
        <f t="shared" si="183"/>
        <v>Закрито</v>
      </c>
      <c r="K1359" s="5">
        <v>45615</v>
      </c>
      <c r="L1359" s="1" t="s">
        <v>20</v>
      </c>
      <c r="M1359" s="1" t="s">
        <v>22</v>
      </c>
      <c r="N1359" s="5">
        <v>45615</v>
      </c>
    </row>
    <row r="1360" spans="1:14" x14ac:dyDescent="0.3">
      <c r="A1360" s="1" t="str">
        <f>"20_172-11/2024/П"</f>
        <v>20_172-11/2024/П</v>
      </c>
      <c r="B1360" s="6">
        <v>45608</v>
      </c>
      <c r="C1360" s="1" t="str">
        <f>"00038"</f>
        <v>00038</v>
      </c>
      <c r="D136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60" s="1" t="s">
        <v>20</v>
      </c>
      <c r="F13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60" s="1" t="str">
        <f t="shared" si="184"/>
        <v>Фізична особа</v>
      </c>
      <c r="H1360" s="1" t="s">
        <v>20</v>
      </c>
      <c r="I1360" s="1" t="s">
        <v>20</v>
      </c>
      <c r="J1360" s="1" t="str">
        <f t="shared" si="183"/>
        <v>Закрито</v>
      </c>
      <c r="K1360" s="5">
        <v>45608</v>
      </c>
      <c r="L1360" s="1" t="s">
        <v>20</v>
      </c>
      <c r="M1360" s="1" t="s">
        <v>22</v>
      </c>
      <c r="N1360" s="5">
        <v>45608</v>
      </c>
    </row>
    <row r="1361" spans="1:14" x14ac:dyDescent="0.3">
      <c r="A1361" s="1" t="str">
        <f>"25_428-11/2024/З"</f>
        <v>25_428-11/2024/З</v>
      </c>
      <c r="B1361" s="6">
        <v>45608</v>
      </c>
      <c r="C1361" s="1" t="str">
        <f>"00155"</f>
        <v>00155</v>
      </c>
      <c r="D1361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361" s="1" t="str">
        <f>"03193413"</f>
        <v>03193413</v>
      </c>
      <c r="F136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361" s="1" t="str">
        <f t="shared" si="184"/>
        <v>Фізична особа</v>
      </c>
      <c r="H1361" s="1" t="s">
        <v>20</v>
      </c>
      <c r="I1361" s="1" t="s">
        <v>20</v>
      </c>
      <c r="J1361" s="1" t="str">
        <f t="shared" si="183"/>
        <v>Закрито</v>
      </c>
      <c r="K1361" s="5">
        <v>45618</v>
      </c>
      <c r="L1361" s="1" t="s">
        <v>20</v>
      </c>
      <c r="M1361" s="1" t="s">
        <v>22</v>
      </c>
      <c r="N1361" s="5">
        <v>45618</v>
      </c>
    </row>
    <row r="1362" spans="1:14" x14ac:dyDescent="0.3">
      <c r="A1362" s="1" t="str">
        <f>"28_641-11/2024/З"</f>
        <v>28_641-11/2024/З</v>
      </c>
      <c r="B1362" s="6">
        <v>45608</v>
      </c>
      <c r="C1362" s="1" t="str">
        <f>"00155"</f>
        <v>00155</v>
      </c>
      <c r="D1362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362" s="1" t="str">
        <f>"03193413"</f>
        <v>03193413</v>
      </c>
      <c r="F136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362" s="1" t="str">
        <f t="shared" si="184"/>
        <v>Фізична особа</v>
      </c>
      <c r="H1362" s="1" t="s">
        <v>20</v>
      </c>
      <c r="I1362" s="1" t="s">
        <v>20</v>
      </c>
      <c r="J1362" s="1" t="str">
        <f t="shared" si="183"/>
        <v>Закрито</v>
      </c>
      <c r="K1362" s="5">
        <v>45617</v>
      </c>
      <c r="L1362" s="1" t="s">
        <v>20</v>
      </c>
      <c r="M1362" s="1" t="s">
        <v>22</v>
      </c>
      <c r="N1362" s="5">
        <v>45617</v>
      </c>
    </row>
    <row r="1363" spans="1:14" x14ac:dyDescent="0.3">
      <c r="A1363" s="1" t="str">
        <f>"1_5798/2129-11/2024/О"</f>
        <v>1_5798/2129-11/2024/О</v>
      </c>
      <c r="B1363" s="6">
        <v>45608</v>
      </c>
      <c r="C1363" s="1" t="str">
        <f>"00038"</f>
        <v>00038</v>
      </c>
      <c r="D136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63" s="1" t="s">
        <v>20</v>
      </c>
      <c r="F1363" s="1" t="str">
        <f t="shared" ref="F1363:F1372" si="185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63" s="1" t="str">
        <f t="shared" si="184"/>
        <v>Фізична особа</v>
      </c>
      <c r="H1363" s="1" t="s">
        <v>20</v>
      </c>
      <c r="I1363" s="1" t="s">
        <v>20</v>
      </c>
      <c r="J1363" s="1" t="str">
        <f t="shared" si="183"/>
        <v>Закрито</v>
      </c>
      <c r="K1363" s="6">
        <v>45608</v>
      </c>
      <c r="L1363" s="1" t="s">
        <v>20</v>
      </c>
      <c r="M1363" s="1" t="s">
        <v>22</v>
      </c>
      <c r="N1363" s="5">
        <v>45608</v>
      </c>
    </row>
    <row r="1364" spans="1:14" x14ac:dyDescent="0.3">
      <c r="A1364" s="1" t="str">
        <f>"1_5799/2129-11/2024/Б"</f>
        <v>1_5799/2129-11/2024/Б</v>
      </c>
      <c r="B1364" s="6">
        <v>45608</v>
      </c>
      <c r="C1364" s="1" t="str">
        <f>"00034"</f>
        <v>00034</v>
      </c>
      <c r="D1364" s="2" t="str">
        <f>"Реєстрація місця проживання"</f>
        <v>Реєстрація місця проживання</v>
      </c>
      <c r="E1364" s="1" t="s">
        <v>20</v>
      </c>
      <c r="F1364" s="1" t="str">
        <f t="shared" si="185"/>
        <v>Центр надання адміністративних послуг Рогатинської міської ради</v>
      </c>
      <c r="G1364" s="1" t="str">
        <f t="shared" si="184"/>
        <v>Фізична особа</v>
      </c>
      <c r="H1364" s="1" t="s">
        <v>20</v>
      </c>
      <c r="I1364" s="1" t="s">
        <v>20</v>
      </c>
      <c r="J1364" s="1" t="str">
        <f t="shared" si="183"/>
        <v>Закрито</v>
      </c>
      <c r="K1364" s="6">
        <v>45608</v>
      </c>
      <c r="L1364" s="1" t="str">
        <f>"45.42"</f>
        <v>45.42</v>
      </c>
      <c r="M1364" s="1" t="s">
        <v>22</v>
      </c>
      <c r="N1364" s="5">
        <v>45608</v>
      </c>
    </row>
    <row r="1365" spans="1:14" x14ac:dyDescent="0.3">
      <c r="A1365" s="1" t="str">
        <f>"1_5800/2129-11/2024/Б"</f>
        <v>1_5800/2129-11/2024/Б</v>
      </c>
      <c r="B1365" s="6">
        <v>45608</v>
      </c>
      <c r="C1365" s="1" t="str">
        <f>"00038"</f>
        <v>00038</v>
      </c>
      <c r="D136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65" s="1" t="s">
        <v>20</v>
      </c>
      <c r="F1365" s="1" t="str">
        <f t="shared" si="185"/>
        <v>Центр надання адміністративних послуг Рогатинської міської ради</v>
      </c>
      <c r="G1365" s="1" t="str">
        <f t="shared" si="184"/>
        <v>Фізична особа</v>
      </c>
      <c r="H1365" s="1" t="s">
        <v>20</v>
      </c>
      <c r="I1365" s="1" t="s">
        <v>20</v>
      </c>
      <c r="J1365" s="1" t="str">
        <f t="shared" si="183"/>
        <v>Закрито</v>
      </c>
      <c r="K1365" s="6">
        <v>45608</v>
      </c>
      <c r="L1365" s="1" t="s">
        <v>20</v>
      </c>
      <c r="M1365" s="1" t="s">
        <v>22</v>
      </c>
      <c r="N1365" s="5">
        <v>45608</v>
      </c>
    </row>
    <row r="1366" spans="1:14" x14ac:dyDescent="0.3">
      <c r="A1366" s="1" t="str">
        <f>"1_5801/2129-11/2024/Б"</f>
        <v>1_5801/2129-11/2024/Б</v>
      </c>
      <c r="B1366" s="6">
        <v>45608</v>
      </c>
      <c r="C1366" s="1" t="str">
        <f>"00034"</f>
        <v>00034</v>
      </c>
      <c r="D1366" s="2" t="str">
        <f>"Реєстрація місця проживання"</f>
        <v>Реєстрація місця проживання</v>
      </c>
      <c r="E1366" s="1" t="s">
        <v>20</v>
      </c>
      <c r="F1366" s="1" t="str">
        <f t="shared" si="185"/>
        <v>Центр надання адміністративних послуг Рогатинської міської ради</v>
      </c>
      <c r="G1366" s="1" t="str">
        <f t="shared" si="184"/>
        <v>Фізична особа</v>
      </c>
      <c r="H1366" s="1" t="s">
        <v>20</v>
      </c>
      <c r="I1366" s="1" t="s">
        <v>20</v>
      </c>
      <c r="J1366" s="1" t="str">
        <f t="shared" si="183"/>
        <v>Закрито</v>
      </c>
      <c r="K1366" s="6">
        <v>45608</v>
      </c>
      <c r="L1366" s="1" t="str">
        <f>"45.42"</f>
        <v>45.42</v>
      </c>
      <c r="M1366" s="1" t="s">
        <v>22</v>
      </c>
      <c r="N1366" s="5">
        <v>45608</v>
      </c>
    </row>
    <row r="1367" spans="1:14" x14ac:dyDescent="0.3">
      <c r="A1367" s="1" t="str">
        <f>"21_652-11/2024/Б"</f>
        <v>21_652-11/2024/Б</v>
      </c>
      <c r="B1367" s="6">
        <v>45608</v>
      </c>
      <c r="C1367" s="1" t="str">
        <f>"00038"</f>
        <v>00038</v>
      </c>
      <c r="D136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67" s="1" t="s">
        <v>20</v>
      </c>
      <c r="F1367" s="1" t="str">
        <f t="shared" si="185"/>
        <v>Центр надання адміністративних послуг Рогатинської міської ради</v>
      </c>
      <c r="G1367" s="1" t="str">
        <f t="shared" si="184"/>
        <v>Фізична особа</v>
      </c>
      <c r="H1367" s="1" t="s">
        <v>20</v>
      </c>
      <c r="I1367" s="1" t="s">
        <v>20</v>
      </c>
      <c r="J1367" s="1" t="str">
        <f t="shared" si="183"/>
        <v>Закрито</v>
      </c>
      <c r="K1367" s="5">
        <v>45608</v>
      </c>
      <c r="L1367" s="1" t="s">
        <v>20</v>
      </c>
      <c r="M1367" s="1" t="s">
        <v>22</v>
      </c>
      <c r="N1367" s="5">
        <v>45608</v>
      </c>
    </row>
    <row r="1368" spans="1:14" x14ac:dyDescent="0.3">
      <c r="A1368" s="1" t="str">
        <f>"1_5802/2129-11/2024/Б"</f>
        <v>1_5802/2129-11/2024/Б</v>
      </c>
      <c r="B1368" s="6">
        <v>45608</v>
      </c>
      <c r="C1368" s="1" t="str">
        <f>"00038"</f>
        <v>00038</v>
      </c>
      <c r="D136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68" s="1" t="s">
        <v>20</v>
      </c>
      <c r="F1368" s="1" t="str">
        <f t="shared" si="185"/>
        <v>Центр надання адміністративних послуг Рогатинської міської ради</v>
      </c>
      <c r="G1368" s="1" t="str">
        <f t="shared" si="184"/>
        <v>Фізична особа</v>
      </c>
      <c r="H1368" s="1" t="s">
        <v>20</v>
      </c>
      <c r="I1368" s="1" t="s">
        <v>20</v>
      </c>
      <c r="J1368" s="1" t="str">
        <f t="shared" si="183"/>
        <v>Закрито</v>
      </c>
      <c r="K1368" s="6">
        <v>45608</v>
      </c>
      <c r="L1368" s="1" t="s">
        <v>20</v>
      </c>
      <c r="M1368" s="1" t="s">
        <v>22</v>
      </c>
      <c r="N1368" s="5">
        <v>45608</v>
      </c>
    </row>
    <row r="1369" spans="1:14" x14ac:dyDescent="0.3">
      <c r="A1369" s="1" t="str">
        <f>"34_381-11/2024/К"</f>
        <v>34_381-11/2024/К</v>
      </c>
      <c r="B1369" s="6">
        <v>45608</v>
      </c>
      <c r="C1369" s="1" t="str">
        <f>"00038"</f>
        <v>00038</v>
      </c>
      <c r="D136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69" s="1" t="s">
        <v>20</v>
      </c>
      <c r="F1369" s="1" t="str">
        <f t="shared" si="185"/>
        <v>Центр надання адміністративних послуг Рогатинської міської ради</v>
      </c>
      <c r="G1369" s="1" t="str">
        <f t="shared" si="184"/>
        <v>Фізична особа</v>
      </c>
      <c r="H1369" s="1" t="s">
        <v>20</v>
      </c>
      <c r="I1369" s="1" t="s">
        <v>20</v>
      </c>
      <c r="J1369" s="1" t="str">
        <f t="shared" si="183"/>
        <v>Закрито</v>
      </c>
      <c r="K1369" s="5">
        <v>45608</v>
      </c>
      <c r="L1369" s="1" t="s">
        <v>20</v>
      </c>
      <c r="M1369" s="1" t="s">
        <v>22</v>
      </c>
      <c r="N1369" s="5">
        <v>45608</v>
      </c>
    </row>
    <row r="1370" spans="1:14" x14ac:dyDescent="0.3">
      <c r="A1370" s="1" t="str">
        <f>"1_5803/2129-11/2024/Б"</f>
        <v>1_5803/2129-11/2024/Б</v>
      </c>
      <c r="B1370" s="6">
        <v>45608</v>
      </c>
      <c r="C1370" s="1" t="str">
        <f>"00038"</f>
        <v>00038</v>
      </c>
      <c r="D137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70" s="1" t="s">
        <v>20</v>
      </c>
      <c r="F1370" s="1" t="str">
        <f t="shared" si="185"/>
        <v>Центр надання адміністративних послуг Рогатинської міської ради</v>
      </c>
      <c r="G1370" s="1" t="str">
        <f t="shared" si="184"/>
        <v>Фізична особа</v>
      </c>
      <c r="H1370" s="1" t="s">
        <v>20</v>
      </c>
      <c r="I1370" s="1" t="s">
        <v>20</v>
      </c>
      <c r="J1370" s="1" t="str">
        <f t="shared" si="183"/>
        <v>Закрито</v>
      </c>
      <c r="K1370" s="6">
        <v>45608</v>
      </c>
      <c r="L1370" s="1" t="s">
        <v>20</v>
      </c>
      <c r="M1370" s="1" t="s">
        <v>22</v>
      </c>
      <c r="N1370" s="5">
        <v>45608</v>
      </c>
    </row>
    <row r="1371" spans="1:14" x14ac:dyDescent="0.3">
      <c r="A1371" s="1" t="str">
        <f>"34_382-11/2024/Д"</f>
        <v>34_382-11/2024/Д</v>
      </c>
      <c r="B1371" s="6">
        <v>45608</v>
      </c>
      <c r="C1371" s="1" t="str">
        <f>"33"</f>
        <v>33</v>
      </c>
      <c r="D1371" s="2" t="str">
        <f>"33 Довідки різного характеру"</f>
        <v>33 Довідки різного характеру</v>
      </c>
      <c r="E1371" s="1" t="s">
        <v>20</v>
      </c>
      <c r="F1371" s="1" t="str">
        <f t="shared" si="185"/>
        <v>Центр надання адміністративних послуг Рогатинської міської ради</v>
      </c>
      <c r="G1371" s="1" t="str">
        <f t="shared" si="184"/>
        <v>Фізична особа</v>
      </c>
      <c r="H1371" s="1" t="s">
        <v>20</v>
      </c>
      <c r="I1371" s="1" t="s">
        <v>20</v>
      </c>
      <c r="J1371" s="1" t="str">
        <f t="shared" si="183"/>
        <v>Закрито</v>
      </c>
      <c r="K1371" s="5">
        <v>45608</v>
      </c>
      <c r="L1371" s="1" t="s">
        <v>20</v>
      </c>
      <c r="M1371" s="1" t="s">
        <v>22</v>
      </c>
      <c r="N1371" s="5">
        <v>45608</v>
      </c>
    </row>
    <row r="1372" spans="1:14" x14ac:dyDescent="0.3">
      <c r="A1372" s="1" t="str">
        <f>"34_383-11/2024/Г"</f>
        <v>34_383-11/2024/Г</v>
      </c>
      <c r="B1372" s="6">
        <v>45608</v>
      </c>
      <c r="C1372" s="1" t="str">
        <f>"00038"</f>
        <v>00038</v>
      </c>
      <c r="D137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72" s="1" t="s">
        <v>20</v>
      </c>
      <c r="F1372" s="1" t="str">
        <f t="shared" si="185"/>
        <v>Центр надання адміністративних послуг Рогатинської міської ради</v>
      </c>
      <c r="G1372" s="1" t="str">
        <f t="shared" si="184"/>
        <v>Фізична особа</v>
      </c>
      <c r="H1372" s="1" t="s">
        <v>20</v>
      </c>
      <c r="I1372" s="1" t="s">
        <v>20</v>
      </c>
      <c r="J1372" s="1" t="str">
        <f t="shared" si="183"/>
        <v>Закрито</v>
      </c>
      <c r="K1372" s="5">
        <v>45608</v>
      </c>
      <c r="L1372" s="1" t="s">
        <v>20</v>
      </c>
      <c r="M1372" s="1" t="s">
        <v>22</v>
      </c>
      <c r="N1372" s="5">
        <v>45608</v>
      </c>
    </row>
    <row r="1373" spans="1:14" x14ac:dyDescent="0.3">
      <c r="A1373" s="1" t="str">
        <f>"18_625-11/2024/К"</f>
        <v>18_625-11/2024/К</v>
      </c>
      <c r="B1373" s="6">
        <v>45608</v>
      </c>
      <c r="C1373" s="1" t="str">
        <f>"00155"</f>
        <v>00155</v>
      </c>
      <c r="D1373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373" s="1" t="str">
        <f>"03193413"</f>
        <v>03193413</v>
      </c>
      <c r="F137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373" s="1" t="str">
        <f t="shared" si="184"/>
        <v>Фізична особа</v>
      </c>
      <c r="H1373" s="1" t="s">
        <v>20</v>
      </c>
      <c r="I1373" s="1" t="s">
        <v>20</v>
      </c>
      <c r="J1373" s="1" t="str">
        <f>"На обробці в СНАП"</f>
        <v>На обробці в СНАП</v>
      </c>
      <c r="K1373" s="1" t="s">
        <v>20</v>
      </c>
      <c r="L1373" s="1" t="s">
        <v>20</v>
      </c>
      <c r="M1373" s="1" t="s">
        <v>22</v>
      </c>
      <c r="N1373" s="1" t="s">
        <v>20</v>
      </c>
    </row>
    <row r="1374" spans="1:14" x14ac:dyDescent="0.3">
      <c r="A1374" s="1" t="str">
        <f>"14_972-11/2024/С"</f>
        <v>14_972-11/2024/С</v>
      </c>
      <c r="B1374" s="6">
        <v>45608</v>
      </c>
      <c r="C1374" s="1" t="str">
        <f>"00038"</f>
        <v>00038</v>
      </c>
      <c r="D137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74" s="1" t="s">
        <v>20</v>
      </c>
      <c r="F137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74" s="1" t="str">
        <f t="shared" si="184"/>
        <v>Фізична особа</v>
      </c>
      <c r="H1374" s="1" t="s">
        <v>20</v>
      </c>
      <c r="I1374" s="1" t="s">
        <v>20</v>
      </c>
      <c r="J1374" s="1" t="str">
        <f>"Закрито"</f>
        <v>Закрито</v>
      </c>
      <c r="K1374" s="5">
        <v>45608</v>
      </c>
      <c r="L1374" s="1" t="s">
        <v>20</v>
      </c>
      <c r="M1374" s="1" t="s">
        <v>22</v>
      </c>
      <c r="N1374" s="5">
        <v>45608</v>
      </c>
    </row>
    <row r="1375" spans="1:14" x14ac:dyDescent="0.3">
      <c r="A1375" s="1" t="str">
        <f>"1_5804/2129-11/2024/Б"</f>
        <v>1_5804/2129-11/2024/Б</v>
      </c>
      <c r="B1375" s="6">
        <v>45608</v>
      </c>
      <c r="C1375" s="1" t="str">
        <f>"00038"</f>
        <v>00038</v>
      </c>
      <c r="D137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75" s="1" t="s">
        <v>20</v>
      </c>
      <c r="F13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75" s="1" t="str">
        <f t="shared" si="184"/>
        <v>Фізична особа</v>
      </c>
      <c r="H1375" s="1" t="s">
        <v>20</v>
      </c>
      <c r="I1375" s="1" t="s">
        <v>20</v>
      </c>
      <c r="J1375" s="1" t="str">
        <f>"Закрито"</f>
        <v>Закрито</v>
      </c>
      <c r="K1375" s="6">
        <v>45608</v>
      </c>
      <c r="L1375" s="1" t="s">
        <v>20</v>
      </c>
      <c r="M1375" s="1" t="s">
        <v>22</v>
      </c>
      <c r="N1375" s="5">
        <v>45608</v>
      </c>
    </row>
    <row r="1376" spans="1:14" x14ac:dyDescent="0.3">
      <c r="A1376" s="1" t="str">
        <f>"18_626-11/2024/К"</f>
        <v>18_626-11/2024/К</v>
      </c>
      <c r="B1376" s="6">
        <v>45608</v>
      </c>
      <c r="C1376" s="1" t="str">
        <f>"33"</f>
        <v>33</v>
      </c>
      <c r="D1376" s="2" t="str">
        <f>"33 Довідки різного характеру"</f>
        <v>33 Довідки різного характеру</v>
      </c>
      <c r="E1376" s="1" t="s">
        <v>20</v>
      </c>
      <c r="F137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76" s="1" t="str">
        <f t="shared" si="184"/>
        <v>Фізична особа</v>
      </c>
      <c r="H1376" s="1" t="s">
        <v>20</v>
      </c>
      <c r="I1376" s="1" t="s">
        <v>20</v>
      </c>
      <c r="J1376" s="1" t="str">
        <f>"Закрито"</f>
        <v>Закрито</v>
      </c>
      <c r="K1376" s="5">
        <v>45608</v>
      </c>
      <c r="L1376" s="1" t="s">
        <v>20</v>
      </c>
      <c r="M1376" s="1" t="s">
        <v>22</v>
      </c>
      <c r="N1376" s="5">
        <v>45608</v>
      </c>
    </row>
    <row r="1377" spans="1:14" x14ac:dyDescent="0.3">
      <c r="A1377" s="1" t="str">
        <f>"12_860-11/2024/Ш"</f>
        <v>12_860-11/2024/Ш</v>
      </c>
      <c r="B1377" s="6">
        <v>45608</v>
      </c>
      <c r="C1377" s="1" t="str">
        <f>"33"</f>
        <v>33</v>
      </c>
      <c r="D1377" s="2" t="str">
        <f>"33 Довідки різного характеру"</f>
        <v>33 Довідки різного характеру</v>
      </c>
      <c r="E1377" s="1" t="s">
        <v>20</v>
      </c>
      <c r="F137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77" s="1" t="str">
        <f t="shared" si="184"/>
        <v>Фізична особа</v>
      </c>
      <c r="H1377" s="1" t="s">
        <v>20</v>
      </c>
      <c r="I1377" s="1" t="s">
        <v>20</v>
      </c>
      <c r="J1377" s="1" t="str">
        <f>"Закрито"</f>
        <v>Закрито</v>
      </c>
      <c r="K1377" s="5">
        <v>45608</v>
      </c>
      <c r="L1377" s="1" t="s">
        <v>20</v>
      </c>
      <c r="M1377" s="1" t="s">
        <v>22</v>
      </c>
      <c r="N1377" s="5">
        <v>45608</v>
      </c>
    </row>
    <row r="1378" spans="1:14" x14ac:dyDescent="0.3">
      <c r="A1378" s="1" t="str">
        <f>"14_973-11/2024/С"</f>
        <v>14_973-11/2024/С</v>
      </c>
      <c r="B1378" s="6">
        <v>45608</v>
      </c>
      <c r="C1378" s="1" t="str">
        <f>"00155"</f>
        <v>00155</v>
      </c>
      <c r="D1378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378" s="1" t="str">
        <f>"03193413"</f>
        <v>03193413</v>
      </c>
      <c r="F137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378" s="1" t="str">
        <f t="shared" si="184"/>
        <v>Фізична особа</v>
      </c>
      <c r="H1378" s="1" t="s">
        <v>20</v>
      </c>
      <c r="I1378" s="1" t="s">
        <v>20</v>
      </c>
      <c r="J1378" s="1" t="str">
        <f>"На обробці в СНАП"</f>
        <v>На обробці в СНАП</v>
      </c>
      <c r="K1378" s="1" t="s">
        <v>20</v>
      </c>
      <c r="L1378" s="1" t="s">
        <v>20</v>
      </c>
      <c r="M1378" s="1" t="s">
        <v>22</v>
      </c>
      <c r="N1378" s="1" t="s">
        <v>20</v>
      </c>
    </row>
    <row r="1379" spans="1:14" x14ac:dyDescent="0.3">
      <c r="A1379" s="1" t="str">
        <f>"18_627-11/2024/К"</f>
        <v>18_627-11/2024/К</v>
      </c>
      <c r="B1379" s="6">
        <v>45608</v>
      </c>
      <c r="C1379" s="1" t="str">
        <f>"00038"</f>
        <v>00038</v>
      </c>
      <c r="D137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79" s="1" t="s">
        <v>20</v>
      </c>
      <c r="F137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79" s="1" t="str">
        <f t="shared" si="184"/>
        <v>Фізична особа</v>
      </c>
      <c r="H1379" s="1" t="s">
        <v>20</v>
      </c>
      <c r="I1379" s="1" t="s">
        <v>20</v>
      </c>
      <c r="J1379" s="1" t="str">
        <f t="shared" ref="J1379:J1384" si="186">"Закрито"</f>
        <v>Закрито</v>
      </c>
      <c r="K1379" s="5">
        <v>45608</v>
      </c>
      <c r="L1379" s="1" t="s">
        <v>20</v>
      </c>
      <c r="M1379" s="1" t="s">
        <v>22</v>
      </c>
      <c r="N1379" s="5">
        <v>45608</v>
      </c>
    </row>
    <row r="1380" spans="1:14" x14ac:dyDescent="0.3">
      <c r="A1380" s="1" t="str">
        <f>"14_974-11/2024/Ш"</f>
        <v>14_974-11/2024/Ш</v>
      </c>
      <c r="B1380" s="6">
        <v>45608</v>
      </c>
      <c r="C1380" s="1" t="str">
        <f>"00038"</f>
        <v>00038</v>
      </c>
      <c r="D138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80" s="1" t="s">
        <v>20</v>
      </c>
      <c r="F138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80" s="1" t="str">
        <f t="shared" si="184"/>
        <v>Фізична особа</v>
      </c>
      <c r="H1380" s="1" t="s">
        <v>20</v>
      </c>
      <c r="I1380" s="1" t="s">
        <v>20</v>
      </c>
      <c r="J1380" s="1" t="str">
        <f t="shared" si="186"/>
        <v>Закрито</v>
      </c>
      <c r="K1380" s="5">
        <v>45608</v>
      </c>
      <c r="L1380" s="1" t="s">
        <v>20</v>
      </c>
      <c r="M1380" s="1" t="s">
        <v>22</v>
      </c>
      <c r="N1380" s="5">
        <v>45608</v>
      </c>
    </row>
    <row r="1381" spans="1:14" x14ac:dyDescent="0.3">
      <c r="A1381" s="1" t="str">
        <f>"30_620-11/2024/Л"</f>
        <v>30_620-11/2024/Л</v>
      </c>
      <c r="B1381" s="6">
        <v>45608</v>
      </c>
      <c r="C1381" s="1" t="str">
        <f>"00038"</f>
        <v>00038</v>
      </c>
      <c r="D138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81" s="1" t="s">
        <v>20</v>
      </c>
      <c r="F13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81" s="1" t="str">
        <f t="shared" si="184"/>
        <v>Фізична особа</v>
      </c>
      <c r="H1381" s="1" t="s">
        <v>20</v>
      </c>
      <c r="I1381" s="1" t="s">
        <v>20</v>
      </c>
      <c r="J1381" s="1" t="str">
        <f t="shared" si="186"/>
        <v>Закрито</v>
      </c>
      <c r="K1381" s="5">
        <v>45608</v>
      </c>
      <c r="L1381" s="1" t="s">
        <v>20</v>
      </c>
      <c r="M1381" s="1" t="s">
        <v>22</v>
      </c>
      <c r="N1381" s="5">
        <v>45608</v>
      </c>
    </row>
    <row r="1382" spans="1:14" x14ac:dyDescent="0.3">
      <c r="A1382" s="1" t="str">
        <f>"34_384-11/2024/Ф"</f>
        <v>34_384-11/2024/Ф</v>
      </c>
      <c r="B1382" s="6">
        <v>45608</v>
      </c>
      <c r="C1382" s="1" t="str">
        <f>"33"</f>
        <v>33</v>
      </c>
      <c r="D1382" s="2" t="str">
        <f>"33 Довідки різного характеру"</f>
        <v>33 Довідки різного характеру</v>
      </c>
      <c r="E1382" s="1" t="s">
        <v>20</v>
      </c>
      <c r="F138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82" s="1" t="str">
        <f t="shared" si="184"/>
        <v>Фізична особа</v>
      </c>
      <c r="H1382" s="1" t="s">
        <v>20</v>
      </c>
      <c r="I1382" s="1" t="s">
        <v>20</v>
      </c>
      <c r="J1382" s="1" t="str">
        <f t="shared" si="186"/>
        <v>Закрито</v>
      </c>
      <c r="K1382" s="5">
        <v>45608</v>
      </c>
      <c r="L1382" s="1" t="s">
        <v>20</v>
      </c>
      <c r="M1382" s="1" t="s">
        <v>22</v>
      </c>
      <c r="N1382" s="5">
        <v>45608</v>
      </c>
    </row>
    <row r="1383" spans="1:14" x14ac:dyDescent="0.3">
      <c r="A1383" s="1" t="str">
        <f>"4_1263/03193413-11/2024/Б"</f>
        <v>4_1263/03193413-11/2024/Б</v>
      </c>
      <c r="B1383" s="6">
        <v>45608</v>
      </c>
      <c r="C1383" s="1" t="str">
        <f>"00103"</f>
        <v>00103</v>
      </c>
      <c r="D1383" s="2" t="s">
        <v>1</v>
      </c>
      <c r="E1383" s="1" t="str">
        <f>"03193413"</f>
        <v>03193413</v>
      </c>
      <c r="F138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383" s="1" t="str">
        <f t="shared" si="184"/>
        <v>Фізична особа</v>
      </c>
      <c r="H1383" s="1" t="s">
        <v>20</v>
      </c>
      <c r="I1383" s="1" t="s">
        <v>20</v>
      </c>
      <c r="J1383" s="1" t="str">
        <f t="shared" si="186"/>
        <v>Закрито</v>
      </c>
      <c r="K1383" s="1" t="s">
        <v>20</v>
      </c>
      <c r="L1383" s="1" t="s">
        <v>20</v>
      </c>
      <c r="M1383" s="1" t="s">
        <v>22</v>
      </c>
      <c r="N1383" s="1" t="s">
        <v>20</v>
      </c>
    </row>
    <row r="1384" spans="1:14" x14ac:dyDescent="0.3">
      <c r="A1384" s="1" t="str">
        <f>"34_385-11/2024/К"</f>
        <v>34_385-11/2024/К</v>
      </c>
      <c r="B1384" s="6">
        <v>45608</v>
      </c>
      <c r="C1384" s="1" t="str">
        <f>"00101"</f>
        <v>00101</v>
      </c>
      <c r="D1384" s="2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1384" s="1" t="str">
        <f>"03193413"</f>
        <v>03193413</v>
      </c>
      <c r="F138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384" s="1" t="str">
        <f t="shared" si="184"/>
        <v>Фізична особа</v>
      </c>
      <c r="H1384" s="1" t="s">
        <v>20</v>
      </c>
      <c r="I1384" s="1" t="s">
        <v>20</v>
      </c>
      <c r="J1384" s="1" t="str">
        <f t="shared" si="186"/>
        <v>Закрито</v>
      </c>
      <c r="K1384" s="1" t="s">
        <v>20</v>
      </c>
      <c r="L1384" s="1" t="s">
        <v>20</v>
      </c>
      <c r="M1384" s="1" t="s">
        <v>22</v>
      </c>
      <c r="N1384" s="1" t="s">
        <v>20</v>
      </c>
    </row>
    <row r="1385" spans="1:14" x14ac:dyDescent="0.3">
      <c r="A1385" s="1" t="str">
        <f>"9_1633/04054323-11/2024/С"</f>
        <v>9_1633/04054323-11/2024/С</v>
      </c>
      <c r="B1385" s="6">
        <v>45608</v>
      </c>
      <c r="C1385" s="1" t="str">
        <f>"00174"</f>
        <v>00174</v>
      </c>
      <c r="D1385" s="2" t="str">
        <f>"Видача рішення про надання дозволу на продаж земельної ділянки комунальної власності"</f>
        <v>Видача рішення про надання дозволу на продаж земельної ділянки комунальної власності</v>
      </c>
      <c r="E1385" s="1" t="str">
        <f>"04054323"</f>
        <v>04054323</v>
      </c>
      <c r="F1385" s="1" t="str">
        <f>"Рогатинська міська рада"</f>
        <v>Рогатинська міська рада</v>
      </c>
      <c r="G1385" s="1" t="str">
        <f>"Юридична особа"</f>
        <v>Юридична особа</v>
      </c>
      <c r="H1385" s="1" t="str">
        <f>"СФГ ""Ярослав"""</f>
        <v>СФГ "Ярослав"</v>
      </c>
      <c r="I1385" s="1" t="s">
        <v>20</v>
      </c>
      <c r="J1385" s="1" t="str">
        <f>"На обробці в СНАП"</f>
        <v>На обробці в СНАП</v>
      </c>
      <c r="K1385" s="1" t="s">
        <v>20</v>
      </c>
      <c r="L1385" s="1" t="s">
        <v>20</v>
      </c>
      <c r="M1385" s="1" t="s">
        <v>22</v>
      </c>
      <c r="N1385" s="1" t="s">
        <v>20</v>
      </c>
    </row>
    <row r="1386" spans="1:14" x14ac:dyDescent="0.3">
      <c r="A1386" s="1" t="str">
        <f>"12_861-11/2024/Ц"</f>
        <v>12_861-11/2024/Ц</v>
      </c>
      <c r="B1386" s="6">
        <v>45608</v>
      </c>
      <c r="C1386" s="1" t="str">
        <f>"33"</f>
        <v>33</v>
      </c>
      <c r="D1386" s="2" t="str">
        <f>"33 Довідки різного характеру"</f>
        <v>33 Довідки різного характеру</v>
      </c>
      <c r="E1386" s="1" t="s">
        <v>20</v>
      </c>
      <c r="F138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86" s="1" t="str">
        <f>"Фізична особа"</f>
        <v>Фізична особа</v>
      </c>
      <c r="H1386" s="1" t="s">
        <v>20</v>
      </c>
      <c r="I1386" s="1" t="s">
        <v>20</v>
      </c>
      <c r="J1386" s="1" t="str">
        <f>"Закрито"</f>
        <v>Закрито</v>
      </c>
      <c r="K1386" s="5">
        <v>45608</v>
      </c>
      <c r="L1386" s="1" t="s">
        <v>20</v>
      </c>
      <c r="M1386" s="1" t="s">
        <v>22</v>
      </c>
      <c r="N1386" s="5">
        <v>45608</v>
      </c>
    </row>
    <row r="1387" spans="1:14" x14ac:dyDescent="0.3">
      <c r="A1387" s="1" t="str">
        <f>"9_1634/04054323-11/2024/С"</f>
        <v>9_1634/04054323-11/2024/С</v>
      </c>
      <c r="B1387" s="6">
        <v>45608</v>
      </c>
      <c r="C1387" s="1" t="str">
        <f>"00174"</f>
        <v>00174</v>
      </c>
      <c r="D1387" s="2" t="str">
        <f>"Видача рішення про надання дозволу на продаж земельної ділянки комунальної власності"</f>
        <v>Видача рішення про надання дозволу на продаж земельної ділянки комунальної власності</v>
      </c>
      <c r="E1387" s="1" t="str">
        <f>"04054323"</f>
        <v>04054323</v>
      </c>
      <c r="F1387" s="1" t="str">
        <f>"Рогатинська міська рада"</f>
        <v>Рогатинська міська рада</v>
      </c>
      <c r="G1387" s="1" t="str">
        <f>"Юридична особа"</f>
        <v>Юридична особа</v>
      </c>
      <c r="H1387" s="1" t="str">
        <f>"СФГ ""Ярослав"""</f>
        <v>СФГ "Ярослав"</v>
      </c>
      <c r="I1387" s="1" t="s">
        <v>20</v>
      </c>
      <c r="J1387" s="1" t="str">
        <f>"На обробці в СНАП"</f>
        <v>На обробці в СНАП</v>
      </c>
      <c r="K1387" s="1" t="s">
        <v>20</v>
      </c>
      <c r="L1387" s="1" t="s">
        <v>20</v>
      </c>
      <c r="M1387" s="1" t="s">
        <v>22</v>
      </c>
      <c r="N1387" s="1" t="s">
        <v>20</v>
      </c>
    </row>
    <row r="1388" spans="1:14" x14ac:dyDescent="0.3">
      <c r="A1388" s="1" t="str">
        <f>"14_975-11/2024/С"</f>
        <v>14_975-11/2024/С</v>
      </c>
      <c r="B1388" s="6">
        <v>45608</v>
      </c>
      <c r="C1388" s="1" t="str">
        <f>"33"</f>
        <v>33</v>
      </c>
      <c r="D1388" s="2" t="str">
        <f>"33 Довідки різного характеру"</f>
        <v>33 Довідки різного характеру</v>
      </c>
      <c r="E1388" s="1" t="s">
        <v>20</v>
      </c>
      <c r="F13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88" s="1" t="str">
        <f t="shared" ref="G1388:G1394" si="187">"Фізична особа"</f>
        <v>Фізична особа</v>
      </c>
      <c r="H1388" s="1" t="s">
        <v>20</v>
      </c>
      <c r="I1388" s="1" t="s">
        <v>20</v>
      </c>
      <c r="J1388" s="1" t="str">
        <f t="shared" ref="J1388:J1405" si="188">"Закрито"</f>
        <v>Закрито</v>
      </c>
      <c r="K1388" s="5">
        <v>45608</v>
      </c>
      <c r="L1388" s="1" t="s">
        <v>20</v>
      </c>
      <c r="M1388" s="1" t="s">
        <v>22</v>
      </c>
      <c r="N1388" s="5">
        <v>45608</v>
      </c>
    </row>
    <row r="1389" spans="1:14" x14ac:dyDescent="0.3">
      <c r="A1389" s="1" t="str">
        <f>"9_1635/04054323-11/2024/П"</f>
        <v>9_1635/04054323-11/2024/П</v>
      </c>
      <c r="B1389" s="6">
        <v>45608</v>
      </c>
      <c r="C1389" s="1" t="str">
        <f>"011"</f>
        <v>011</v>
      </c>
      <c r="D1389" s="2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1389" s="1" t="str">
        <f>"04054323"</f>
        <v>04054323</v>
      </c>
      <c r="F1389" s="1" t="str">
        <f>"Рогатинська міська рада"</f>
        <v>Рогатинська міська рада</v>
      </c>
      <c r="G1389" s="1" t="str">
        <f t="shared" si="187"/>
        <v>Фізична особа</v>
      </c>
      <c r="H1389" s="1" t="s">
        <v>20</v>
      </c>
      <c r="I1389" s="1" t="s">
        <v>20</v>
      </c>
      <c r="J1389" s="1" t="str">
        <f t="shared" si="188"/>
        <v>Закрито</v>
      </c>
      <c r="K1389" s="5">
        <v>45637</v>
      </c>
      <c r="L1389" s="1" t="s">
        <v>20</v>
      </c>
      <c r="M1389" s="1" t="s">
        <v>22</v>
      </c>
      <c r="N1389" s="5">
        <v>45637</v>
      </c>
    </row>
    <row r="1390" spans="1:14" x14ac:dyDescent="0.3">
      <c r="A1390" s="1" t="str">
        <f>"7_257/2129-11/2024/П"</f>
        <v>7_257/2129-11/2024/П</v>
      </c>
      <c r="B1390" s="6">
        <v>45608</v>
      </c>
      <c r="C1390" s="1" t="str">
        <f>"33"</f>
        <v>33</v>
      </c>
      <c r="D1390" s="2" t="str">
        <f>"33 Довідки різного характеру"</f>
        <v>33 Довідки різного характеру</v>
      </c>
      <c r="E1390" s="1" t="s">
        <v>20</v>
      </c>
      <c r="F139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90" s="1" t="str">
        <f t="shared" si="187"/>
        <v>Фізична особа</v>
      </c>
      <c r="H1390" s="1" t="s">
        <v>20</v>
      </c>
      <c r="I1390" s="1" t="s">
        <v>20</v>
      </c>
      <c r="J1390" s="1" t="str">
        <f t="shared" si="188"/>
        <v>Закрито</v>
      </c>
      <c r="K1390" s="5">
        <v>45608</v>
      </c>
      <c r="L1390" s="1" t="s">
        <v>20</v>
      </c>
      <c r="M1390" s="1" t="s">
        <v>22</v>
      </c>
      <c r="N1390" s="5">
        <v>45608</v>
      </c>
    </row>
    <row r="1391" spans="1:14" x14ac:dyDescent="0.3">
      <c r="A1391" s="1" t="str">
        <f>"9_1636/04054323-11/2024/О"</f>
        <v>9_1636/04054323-11/2024/О</v>
      </c>
      <c r="B1391" s="6">
        <v>45608</v>
      </c>
      <c r="C1391" s="1" t="str">
        <f>"01-1"</f>
        <v>01-1</v>
      </c>
      <c r="D1391" s="2" t="s">
        <v>0</v>
      </c>
      <c r="E1391" s="1" t="str">
        <f>"04054323"</f>
        <v>04054323</v>
      </c>
      <c r="F1391" s="1" t="str">
        <f>"Рогатинська міська рада"</f>
        <v>Рогатинська міська рада</v>
      </c>
      <c r="G1391" s="1" t="str">
        <f t="shared" si="187"/>
        <v>Фізична особа</v>
      </c>
      <c r="H1391" s="1" t="s">
        <v>20</v>
      </c>
      <c r="I1391" s="1" t="s">
        <v>20</v>
      </c>
      <c r="J1391" s="1" t="str">
        <f t="shared" si="188"/>
        <v>Закрито</v>
      </c>
      <c r="K1391" s="5">
        <v>45637</v>
      </c>
      <c r="L1391" s="1" t="s">
        <v>20</v>
      </c>
      <c r="M1391" s="1" t="s">
        <v>22</v>
      </c>
      <c r="N1391" s="5">
        <v>45637</v>
      </c>
    </row>
    <row r="1392" spans="1:14" x14ac:dyDescent="0.3">
      <c r="A1392" s="1" t="str">
        <f>"20_173-11/2024/Ч"</f>
        <v>20_173-11/2024/Ч</v>
      </c>
      <c r="B1392" s="6">
        <v>45608</v>
      </c>
      <c r="C1392" s="1" t="str">
        <f>"00037"</f>
        <v>00037</v>
      </c>
      <c r="D1392" s="2" t="str">
        <f>"Зняття з реєстрації місця проживання"</f>
        <v>Зняття з реєстрації місця проживання</v>
      </c>
      <c r="E1392" s="1" t="s">
        <v>20</v>
      </c>
      <c r="F139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92" s="1" t="str">
        <f t="shared" si="187"/>
        <v>Фізична особа</v>
      </c>
      <c r="H1392" s="1" t="s">
        <v>20</v>
      </c>
      <c r="I1392" s="1" t="s">
        <v>20</v>
      </c>
      <c r="J1392" s="1" t="str">
        <f t="shared" si="188"/>
        <v>Закрито</v>
      </c>
      <c r="K1392" s="5">
        <v>45608</v>
      </c>
      <c r="L1392" s="1" t="str">
        <f>"45.42"</f>
        <v>45.42</v>
      </c>
      <c r="M1392" s="1" t="s">
        <v>22</v>
      </c>
      <c r="N1392" s="5">
        <v>45608</v>
      </c>
    </row>
    <row r="1393" spans="1:14" x14ac:dyDescent="0.3">
      <c r="A1393" s="1" t="str">
        <f>"16_675-11/2024/З"</f>
        <v>16_675-11/2024/З</v>
      </c>
      <c r="B1393" s="6">
        <v>45608</v>
      </c>
      <c r="C1393" s="1" t="str">
        <f>"00064"</f>
        <v>00064</v>
      </c>
      <c r="D1393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393" s="1" t="s">
        <v>20</v>
      </c>
      <c r="F1393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393" s="1" t="str">
        <f t="shared" si="187"/>
        <v>Фізична особа</v>
      </c>
      <c r="H1393" s="1" t="s">
        <v>20</v>
      </c>
      <c r="I1393" s="1" t="s">
        <v>20</v>
      </c>
      <c r="J1393" s="1" t="str">
        <f t="shared" si="188"/>
        <v>Закрито</v>
      </c>
      <c r="K1393" s="5">
        <v>45608</v>
      </c>
      <c r="L1393" s="1" t="s">
        <v>20</v>
      </c>
      <c r="M1393" s="1" t="s">
        <v>22</v>
      </c>
      <c r="N1393" s="5">
        <v>45608</v>
      </c>
    </row>
    <row r="1394" spans="1:14" x14ac:dyDescent="0.3">
      <c r="A1394" s="1" t="str">
        <f>"20_174-11/2024/Ч"</f>
        <v>20_174-11/2024/Ч</v>
      </c>
      <c r="B1394" s="6">
        <v>45608</v>
      </c>
      <c r="C1394" s="1" t="str">
        <f>"00038"</f>
        <v>00038</v>
      </c>
      <c r="D139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94" s="1" t="s">
        <v>20</v>
      </c>
      <c r="F13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94" s="1" t="str">
        <f t="shared" si="187"/>
        <v>Фізична особа</v>
      </c>
      <c r="H1394" s="1" t="s">
        <v>20</v>
      </c>
      <c r="I1394" s="1" t="s">
        <v>20</v>
      </c>
      <c r="J1394" s="1" t="str">
        <f t="shared" si="188"/>
        <v>Закрито</v>
      </c>
      <c r="K1394" s="5">
        <v>45608</v>
      </c>
      <c r="L1394" s="1" t="s">
        <v>20</v>
      </c>
      <c r="M1394" s="1" t="s">
        <v>22</v>
      </c>
      <c r="N1394" s="5">
        <v>45608</v>
      </c>
    </row>
    <row r="1395" spans="1:14" x14ac:dyDescent="0.3">
      <c r="A1395" s="1" t="str">
        <f>"9_1637/04054323-11/2024/Ш"</f>
        <v>9_1637/04054323-11/2024/Ш</v>
      </c>
      <c r="B1395" s="6">
        <v>45608</v>
      </c>
      <c r="C1395" s="1" t="str">
        <f>"01-1"</f>
        <v>01-1</v>
      </c>
      <c r="D1395" s="2" t="s">
        <v>0</v>
      </c>
      <c r="E1395" s="1" t="str">
        <f>"04054323"</f>
        <v>04054323</v>
      </c>
      <c r="F1395" s="1" t="str">
        <f>"Рогатинська міська рада"</f>
        <v>Рогатинська міська рада</v>
      </c>
      <c r="G1395" s="1" t="s">
        <v>21</v>
      </c>
      <c r="H1395" s="1" t="s">
        <v>20</v>
      </c>
      <c r="I1395" s="1" t="s">
        <v>20</v>
      </c>
      <c r="J1395" s="1" t="str">
        <f t="shared" si="188"/>
        <v>Закрито</v>
      </c>
      <c r="K1395" s="5">
        <v>45637</v>
      </c>
      <c r="L1395" s="1" t="s">
        <v>20</v>
      </c>
      <c r="M1395" s="1" t="s">
        <v>22</v>
      </c>
      <c r="N1395" s="5">
        <v>45637</v>
      </c>
    </row>
    <row r="1396" spans="1:14" x14ac:dyDescent="0.3">
      <c r="A1396" s="1" t="str">
        <f>"20_175-11/2024/Ч"</f>
        <v>20_175-11/2024/Ч</v>
      </c>
      <c r="B1396" s="6">
        <v>45608</v>
      </c>
      <c r="C1396" s="1" t="str">
        <f>"33"</f>
        <v>33</v>
      </c>
      <c r="D1396" s="2" t="str">
        <f>"33 Довідки різного характеру"</f>
        <v>33 Довідки різного характеру</v>
      </c>
      <c r="E1396" s="1" t="s">
        <v>20</v>
      </c>
      <c r="F139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96" s="1" t="str">
        <f t="shared" ref="G1396:G1414" si="189">"Фізична особа"</f>
        <v>Фізична особа</v>
      </c>
      <c r="H1396" s="1" t="s">
        <v>20</v>
      </c>
      <c r="I1396" s="1" t="s">
        <v>20</v>
      </c>
      <c r="J1396" s="1" t="str">
        <f t="shared" si="188"/>
        <v>Закрито</v>
      </c>
      <c r="K1396" s="5">
        <v>45608</v>
      </c>
      <c r="L1396" s="1" t="s">
        <v>20</v>
      </c>
      <c r="M1396" s="1" t="s">
        <v>22</v>
      </c>
      <c r="N1396" s="5">
        <v>45608</v>
      </c>
    </row>
    <row r="1397" spans="1:14" x14ac:dyDescent="0.3">
      <c r="A1397" s="1" t="str">
        <f>"23_441-11/2024/В"</f>
        <v>23_441-11/2024/В</v>
      </c>
      <c r="B1397" s="6">
        <v>45608</v>
      </c>
      <c r="C1397" s="1" t="str">
        <f>"00038"</f>
        <v>00038</v>
      </c>
      <c r="D139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397" s="1" t="s">
        <v>20</v>
      </c>
      <c r="F139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397" s="1" t="str">
        <f t="shared" si="189"/>
        <v>Фізична особа</v>
      </c>
      <c r="H1397" s="1" t="s">
        <v>20</v>
      </c>
      <c r="I1397" s="1" t="s">
        <v>20</v>
      </c>
      <c r="J1397" s="1" t="str">
        <f t="shared" si="188"/>
        <v>Закрито</v>
      </c>
      <c r="K1397" s="5">
        <v>45608</v>
      </c>
      <c r="L1397" s="1" t="s">
        <v>20</v>
      </c>
      <c r="M1397" s="1" t="s">
        <v>22</v>
      </c>
      <c r="N1397" s="5">
        <v>45608</v>
      </c>
    </row>
    <row r="1398" spans="1:14" x14ac:dyDescent="0.3">
      <c r="A1398" s="1" t="str">
        <f>"23_442-11/2024/В"</f>
        <v>23_442-11/2024/В</v>
      </c>
      <c r="B1398" s="6">
        <v>45608</v>
      </c>
      <c r="C1398" s="1" t="str">
        <f>"00064"</f>
        <v>00064</v>
      </c>
      <c r="D1398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398" s="1" t="s">
        <v>20</v>
      </c>
      <c r="F1398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398" s="1" t="str">
        <f t="shared" si="189"/>
        <v>Фізична особа</v>
      </c>
      <c r="H1398" s="1" t="s">
        <v>20</v>
      </c>
      <c r="I1398" s="1" t="s">
        <v>20</v>
      </c>
      <c r="J1398" s="1" t="str">
        <f t="shared" si="188"/>
        <v>Закрито</v>
      </c>
      <c r="K1398" s="5">
        <v>45608</v>
      </c>
      <c r="L1398" s="1" t="s">
        <v>20</v>
      </c>
      <c r="M1398" s="1" t="s">
        <v>22</v>
      </c>
      <c r="N1398" s="5">
        <v>45608</v>
      </c>
    </row>
    <row r="1399" spans="1:14" x14ac:dyDescent="0.3">
      <c r="A1399" s="1" t="str">
        <f>"9_1638/04054323-11/2024/Я"</f>
        <v>9_1638/04054323-11/2024/Я</v>
      </c>
      <c r="B1399" s="6">
        <v>45608</v>
      </c>
      <c r="C1399" s="1" t="str">
        <f>"01-1"</f>
        <v>01-1</v>
      </c>
      <c r="D1399" s="2" t="s">
        <v>0</v>
      </c>
      <c r="E1399" s="1" t="str">
        <f>"04054323"</f>
        <v>04054323</v>
      </c>
      <c r="F1399" s="1" t="str">
        <f>"Рогатинська міська рада"</f>
        <v>Рогатинська міська рада</v>
      </c>
      <c r="G1399" s="1" t="str">
        <f t="shared" si="189"/>
        <v>Фізична особа</v>
      </c>
      <c r="H1399" s="1" t="s">
        <v>20</v>
      </c>
      <c r="I1399" s="1" t="s">
        <v>20</v>
      </c>
      <c r="J1399" s="1" t="str">
        <f t="shared" si="188"/>
        <v>Закрито</v>
      </c>
      <c r="K1399" s="5">
        <v>45637</v>
      </c>
      <c r="L1399" s="1" t="s">
        <v>20</v>
      </c>
      <c r="M1399" s="1" t="s">
        <v>22</v>
      </c>
      <c r="N1399" s="5">
        <v>45637</v>
      </c>
    </row>
    <row r="1400" spans="1:14" x14ac:dyDescent="0.3">
      <c r="A1400" s="1" t="str">
        <f>"1_5805/2129-11/2024/Н"</f>
        <v>1_5805/2129-11/2024/Н</v>
      </c>
      <c r="B1400" s="6">
        <v>45608</v>
      </c>
      <c r="C1400" s="1" t="str">
        <f>"00038"</f>
        <v>00038</v>
      </c>
      <c r="D140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00" s="1" t="s">
        <v>20</v>
      </c>
      <c r="F140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00" s="1" t="str">
        <f t="shared" si="189"/>
        <v>Фізична особа</v>
      </c>
      <c r="H1400" s="1" t="s">
        <v>20</v>
      </c>
      <c r="I1400" s="1" t="s">
        <v>20</v>
      </c>
      <c r="J1400" s="1" t="str">
        <f t="shared" si="188"/>
        <v>Закрито</v>
      </c>
      <c r="K1400" s="6">
        <v>45608</v>
      </c>
      <c r="L1400" s="1" t="s">
        <v>20</v>
      </c>
      <c r="M1400" s="1" t="s">
        <v>22</v>
      </c>
      <c r="N1400" s="5">
        <v>45608</v>
      </c>
    </row>
    <row r="1401" spans="1:14" x14ac:dyDescent="0.3">
      <c r="A1401" s="1" t="str">
        <f>"1_5806/2129-11/2024/П"</f>
        <v>1_5806/2129-11/2024/П</v>
      </c>
      <c r="B1401" s="6">
        <v>45608</v>
      </c>
      <c r="C1401" s="1" t="str">
        <f>"00038"</f>
        <v>00038</v>
      </c>
      <c r="D140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01" s="1" t="s">
        <v>20</v>
      </c>
      <c r="F140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01" s="1" t="str">
        <f t="shared" si="189"/>
        <v>Фізична особа</v>
      </c>
      <c r="H1401" s="1" t="s">
        <v>20</v>
      </c>
      <c r="I1401" s="1" t="s">
        <v>20</v>
      </c>
      <c r="J1401" s="1" t="str">
        <f t="shared" si="188"/>
        <v>Закрито</v>
      </c>
      <c r="K1401" s="6">
        <v>45608</v>
      </c>
      <c r="L1401" s="1" t="s">
        <v>20</v>
      </c>
      <c r="M1401" s="1" t="s">
        <v>22</v>
      </c>
      <c r="N1401" s="5">
        <v>45608</v>
      </c>
    </row>
    <row r="1402" spans="1:14" x14ac:dyDescent="0.3">
      <c r="A1402" s="1" t="str">
        <f>"16_676-11/2024/З"</f>
        <v>16_676-11/2024/З</v>
      </c>
      <c r="B1402" s="6">
        <v>45608</v>
      </c>
      <c r="C1402" s="1" t="str">
        <f>"00155"</f>
        <v>00155</v>
      </c>
      <c r="D1402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402" s="1" t="str">
        <f>"03193413"</f>
        <v>03193413</v>
      </c>
      <c r="F140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02" s="1" t="str">
        <f t="shared" si="189"/>
        <v>Фізична особа</v>
      </c>
      <c r="H1402" s="1" t="s">
        <v>20</v>
      </c>
      <c r="I1402" s="1" t="s">
        <v>20</v>
      </c>
      <c r="J1402" s="1" t="str">
        <f t="shared" si="188"/>
        <v>Закрито</v>
      </c>
      <c r="K1402" s="5">
        <v>45639</v>
      </c>
      <c r="L1402" s="1" t="s">
        <v>20</v>
      </c>
      <c r="M1402" s="1" t="s">
        <v>22</v>
      </c>
      <c r="N1402" s="5">
        <v>45639</v>
      </c>
    </row>
    <row r="1403" spans="1:14" x14ac:dyDescent="0.3">
      <c r="A1403" s="1" t="str">
        <f>"9_1639/04054323-11/2024/Ф"</f>
        <v>9_1639/04054323-11/2024/Ф</v>
      </c>
      <c r="B1403" s="6">
        <v>45608</v>
      </c>
      <c r="C1403" s="1" t="str">
        <f>"01"</f>
        <v>01</v>
      </c>
      <c r="D1403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403" s="1" t="str">
        <f>"04054323"</f>
        <v>04054323</v>
      </c>
      <c r="F1403" s="1" t="str">
        <f>"Рогатинська міська рада"</f>
        <v>Рогатинська міська рада</v>
      </c>
      <c r="G1403" s="1" t="str">
        <f t="shared" si="189"/>
        <v>Фізична особа</v>
      </c>
      <c r="H1403" s="1" t="s">
        <v>20</v>
      </c>
      <c r="I1403" s="1" t="s">
        <v>20</v>
      </c>
      <c r="J1403" s="1" t="str">
        <f t="shared" si="188"/>
        <v>Закрито</v>
      </c>
      <c r="K1403" s="5">
        <v>45637</v>
      </c>
      <c r="L1403" s="1" t="s">
        <v>20</v>
      </c>
      <c r="M1403" s="1" t="s">
        <v>22</v>
      </c>
      <c r="N1403" s="5">
        <v>45637</v>
      </c>
    </row>
    <row r="1404" spans="1:14" x14ac:dyDescent="0.3">
      <c r="A1404" s="1" t="str">
        <f>"18_628-11/2024/К"</f>
        <v>18_628-11/2024/К</v>
      </c>
      <c r="B1404" s="6">
        <v>45608</v>
      </c>
      <c r="C1404" s="1" t="str">
        <f>"00038"</f>
        <v>00038</v>
      </c>
      <c r="D140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04" s="1" t="s">
        <v>20</v>
      </c>
      <c r="F140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04" s="1" t="str">
        <f t="shared" si="189"/>
        <v>Фізична особа</v>
      </c>
      <c r="H1404" s="1" t="s">
        <v>20</v>
      </c>
      <c r="I1404" s="1" t="s">
        <v>20</v>
      </c>
      <c r="J1404" s="1" t="str">
        <f t="shared" si="188"/>
        <v>Закрито</v>
      </c>
      <c r="K1404" s="5">
        <v>45608</v>
      </c>
      <c r="L1404" s="1" t="s">
        <v>20</v>
      </c>
      <c r="M1404" s="1" t="s">
        <v>22</v>
      </c>
      <c r="N1404" s="5">
        <v>45608</v>
      </c>
    </row>
    <row r="1405" spans="1:14" x14ac:dyDescent="0.3">
      <c r="A1405" s="1" t="str">
        <f>"9_1640/04054323-11/2024/Г"</f>
        <v>9_1640/04054323-11/2024/Г</v>
      </c>
      <c r="B1405" s="6">
        <v>45608</v>
      </c>
      <c r="C1405" s="1" t="str">
        <f>"01"</f>
        <v>01</v>
      </c>
      <c r="D1405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405" s="1" t="str">
        <f>"04054323"</f>
        <v>04054323</v>
      </c>
      <c r="F1405" s="1" t="str">
        <f>"Рогатинська міська рада"</f>
        <v>Рогатинська міська рада</v>
      </c>
      <c r="G1405" s="1" t="str">
        <f t="shared" si="189"/>
        <v>Фізична особа</v>
      </c>
      <c r="H1405" s="1" t="s">
        <v>20</v>
      </c>
      <c r="I1405" s="1" t="s">
        <v>20</v>
      </c>
      <c r="J1405" s="1" t="str">
        <f t="shared" si="188"/>
        <v>Закрито</v>
      </c>
      <c r="K1405" s="5">
        <v>45637</v>
      </c>
      <c r="L1405" s="1" t="s">
        <v>20</v>
      </c>
      <c r="M1405" s="1" t="s">
        <v>22</v>
      </c>
      <c r="N1405" s="5">
        <v>45637</v>
      </c>
    </row>
    <row r="1406" spans="1:14" x14ac:dyDescent="0.3">
      <c r="A1406" s="1" t="str">
        <f>"12_862-11/2024/Б"</f>
        <v>12_862-11/2024/Б</v>
      </c>
      <c r="B1406" s="6">
        <v>45608</v>
      </c>
      <c r="C1406" s="1" t="str">
        <f>"33"</f>
        <v>33</v>
      </c>
      <c r="D1406" s="2" t="str">
        <f>"33 Довідки різного характеру"</f>
        <v>33 Довідки різного характеру</v>
      </c>
      <c r="E1406" s="1" t="s">
        <v>20</v>
      </c>
      <c r="F140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06" s="1" t="str">
        <f t="shared" si="189"/>
        <v>Фізична особа</v>
      </c>
      <c r="H1406" s="1" t="s">
        <v>20</v>
      </c>
      <c r="I1406" s="1" t="s">
        <v>20</v>
      </c>
      <c r="J1406" s="1" t="str">
        <f>"Зареєстрований"</f>
        <v>Зареєстрований</v>
      </c>
      <c r="K1406" s="1" t="s">
        <v>20</v>
      </c>
      <c r="L1406" s="1" t="s">
        <v>20</v>
      </c>
      <c r="M1406" s="1" t="s">
        <v>22</v>
      </c>
      <c r="N1406" s="1" t="s">
        <v>20</v>
      </c>
    </row>
    <row r="1407" spans="1:14" x14ac:dyDescent="0.3">
      <c r="A1407" s="1" t="str">
        <f>"1_686-11/2024/Л"</f>
        <v>1_686-11/2024/Л</v>
      </c>
      <c r="B1407" s="6">
        <v>45608</v>
      </c>
      <c r="C1407" s="1" t="str">
        <f>"00038"</f>
        <v>00038</v>
      </c>
      <c r="D140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07" s="1" t="s">
        <v>20</v>
      </c>
      <c r="F140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07" s="1" t="str">
        <f t="shared" si="189"/>
        <v>Фізична особа</v>
      </c>
      <c r="H1407" s="1" t="s">
        <v>20</v>
      </c>
      <c r="I1407" s="1" t="s">
        <v>20</v>
      </c>
      <c r="J1407" s="1" t="str">
        <f t="shared" ref="J1407:J1416" si="190">"Закрито"</f>
        <v>Закрито</v>
      </c>
      <c r="K1407" s="5">
        <v>45608</v>
      </c>
      <c r="L1407" s="1" t="s">
        <v>20</v>
      </c>
      <c r="M1407" s="1" t="s">
        <v>22</v>
      </c>
      <c r="N1407" s="5">
        <v>45608</v>
      </c>
    </row>
    <row r="1408" spans="1:14" x14ac:dyDescent="0.3">
      <c r="A1408" s="1" t="str">
        <f>"9_1641/04054323-11/2024/К"</f>
        <v>9_1641/04054323-11/2024/К</v>
      </c>
      <c r="B1408" s="6">
        <v>45608</v>
      </c>
      <c r="C1408" s="1" t="str">
        <f>"01"</f>
        <v>01</v>
      </c>
      <c r="D1408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408" s="1" t="str">
        <f>"04054323"</f>
        <v>04054323</v>
      </c>
      <c r="F1408" s="1" t="str">
        <f>"Рогатинська міська рада"</f>
        <v>Рогатинська міська рада</v>
      </c>
      <c r="G1408" s="1" t="str">
        <f t="shared" si="189"/>
        <v>Фізична особа</v>
      </c>
      <c r="H1408" s="1" t="s">
        <v>20</v>
      </c>
      <c r="I1408" s="1" t="s">
        <v>20</v>
      </c>
      <c r="J1408" s="1" t="str">
        <f t="shared" si="190"/>
        <v>Закрито</v>
      </c>
      <c r="K1408" s="5">
        <v>45637</v>
      </c>
      <c r="L1408" s="1" t="s">
        <v>20</v>
      </c>
      <c r="M1408" s="1" t="s">
        <v>22</v>
      </c>
      <c r="N1408" s="5">
        <v>45637</v>
      </c>
    </row>
    <row r="1409" spans="1:14" x14ac:dyDescent="0.3">
      <c r="A1409" s="1" t="str">
        <f>"1_687-11/2024/Л"</f>
        <v>1_687-11/2024/Л</v>
      </c>
      <c r="B1409" s="6">
        <v>45608</v>
      </c>
      <c r="C1409" s="1" t="str">
        <f>"33"</f>
        <v>33</v>
      </c>
      <c r="D1409" s="2" t="str">
        <f>"33 Довідки різного характеру"</f>
        <v>33 Довідки різного характеру</v>
      </c>
      <c r="E1409" s="1" t="s">
        <v>20</v>
      </c>
      <c r="F140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09" s="1" t="str">
        <f t="shared" si="189"/>
        <v>Фізична особа</v>
      </c>
      <c r="H1409" s="1" t="s">
        <v>20</v>
      </c>
      <c r="I1409" s="1" t="s">
        <v>20</v>
      </c>
      <c r="J1409" s="1" t="str">
        <f t="shared" si="190"/>
        <v>Закрито</v>
      </c>
      <c r="K1409" s="5">
        <v>45608</v>
      </c>
      <c r="L1409" s="1" t="s">
        <v>20</v>
      </c>
      <c r="M1409" s="1" t="s">
        <v>22</v>
      </c>
      <c r="N1409" s="5">
        <v>45608</v>
      </c>
    </row>
    <row r="1410" spans="1:14" x14ac:dyDescent="0.3">
      <c r="A1410" s="1" t="str">
        <f>"1_688-11/2024/Л"</f>
        <v>1_688-11/2024/Л</v>
      </c>
      <c r="B1410" s="6">
        <v>45608</v>
      </c>
      <c r="C1410" s="1" t="str">
        <f>"01841"</f>
        <v>01841</v>
      </c>
      <c r="D1410" s="2" t="str">
        <f>"Видача довідки про реєстрацію та проживання особи станом на 15.04.1991 року"</f>
        <v>Видача довідки про реєстрацію та проживання особи станом на 15.04.1991 року</v>
      </c>
      <c r="E1410" s="1" t="s">
        <v>20</v>
      </c>
      <c r="F141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10" s="1" t="str">
        <f t="shared" si="189"/>
        <v>Фізична особа</v>
      </c>
      <c r="H1410" s="1" t="s">
        <v>20</v>
      </c>
      <c r="I1410" s="1" t="s">
        <v>20</v>
      </c>
      <c r="J1410" s="1" t="str">
        <f t="shared" si="190"/>
        <v>Закрито</v>
      </c>
      <c r="K1410" s="5">
        <v>45608</v>
      </c>
      <c r="L1410" s="1" t="s">
        <v>20</v>
      </c>
      <c r="M1410" s="1" t="s">
        <v>22</v>
      </c>
      <c r="N1410" s="5">
        <v>45608</v>
      </c>
    </row>
    <row r="1411" spans="1:14" x14ac:dyDescent="0.3">
      <c r="A1411" s="1" t="str">
        <f>"1_689-11/2024/Н"</f>
        <v>1_689-11/2024/Н</v>
      </c>
      <c r="B1411" s="6">
        <v>45608</v>
      </c>
      <c r="C1411" s="1" t="str">
        <f>"00038"</f>
        <v>00038</v>
      </c>
      <c r="D141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11" s="1" t="s">
        <v>20</v>
      </c>
      <c r="F141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11" s="1" t="str">
        <f t="shared" si="189"/>
        <v>Фізична особа</v>
      </c>
      <c r="H1411" s="1" t="s">
        <v>20</v>
      </c>
      <c r="I1411" s="1" t="s">
        <v>20</v>
      </c>
      <c r="J1411" s="1" t="str">
        <f t="shared" si="190"/>
        <v>Закрито</v>
      </c>
      <c r="K1411" s="5">
        <v>45608</v>
      </c>
      <c r="L1411" s="1" t="s">
        <v>20</v>
      </c>
      <c r="M1411" s="1" t="s">
        <v>22</v>
      </c>
      <c r="N1411" s="5">
        <v>45608</v>
      </c>
    </row>
    <row r="1412" spans="1:14" x14ac:dyDescent="0.3">
      <c r="A1412" s="1" t="str">
        <f>"3_842-11/2024/К"</f>
        <v>3_842-11/2024/К</v>
      </c>
      <c r="B1412" s="6">
        <v>45608</v>
      </c>
      <c r="C1412" s="1" t="str">
        <f>"33"</f>
        <v>33</v>
      </c>
      <c r="D1412" s="2" t="str">
        <f>"33 Довідки різного характеру"</f>
        <v>33 Довідки різного характеру</v>
      </c>
      <c r="E1412" s="1" t="s">
        <v>20</v>
      </c>
      <c r="F141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12" s="1" t="str">
        <f t="shared" si="189"/>
        <v>Фізична особа</v>
      </c>
      <c r="H1412" s="1" t="s">
        <v>20</v>
      </c>
      <c r="I1412" s="1" t="s">
        <v>20</v>
      </c>
      <c r="J1412" s="1" t="str">
        <f t="shared" si="190"/>
        <v>Закрито</v>
      </c>
      <c r="K1412" s="5">
        <v>45608</v>
      </c>
      <c r="L1412" s="1" t="s">
        <v>20</v>
      </c>
      <c r="M1412" s="1" t="s">
        <v>22</v>
      </c>
      <c r="N1412" s="5">
        <v>45608</v>
      </c>
    </row>
    <row r="1413" spans="1:14" x14ac:dyDescent="0.3">
      <c r="A1413" s="1" t="str">
        <f>"1_690-11/2024/Г"</f>
        <v>1_690-11/2024/Г</v>
      </c>
      <c r="B1413" s="6">
        <v>45608</v>
      </c>
      <c r="C1413" s="1" t="str">
        <f>"00038"</f>
        <v>00038</v>
      </c>
      <c r="D141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13" s="1" t="s">
        <v>20</v>
      </c>
      <c r="F14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13" s="1" t="str">
        <f t="shared" si="189"/>
        <v>Фізична особа</v>
      </c>
      <c r="H1413" s="1" t="s">
        <v>20</v>
      </c>
      <c r="I1413" s="1" t="s">
        <v>20</v>
      </c>
      <c r="J1413" s="1" t="str">
        <f t="shared" si="190"/>
        <v>Закрито</v>
      </c>
      <c r="K1413" s="5">
        <v>45608</v>
      </c>
      <c r="L1413" s="1" t="s">
        <v>20</v>
      </c>
      <c r="M1413" s="1" t="s">
        <v>22</v>
      </c>
      <c r="N1413" s="5">
        <v>45608</v>
      </c>
    </row>
    <row r="1414" spans="1:14" x14ac:dyDescent="0.3">
      <c r="A1414" s="1" t="str">
        <f>"9_1642/04054323-11/2024/М"</f>
        <v>9_1642/04054323-11/2024/М</v>
      </c>
      <c r="B1414" s="6">
        <v>45608</v>
      </c>
      <c r="C1414" s="1" t="str">
        <f>"01-1"</f>
        <v>01-1</v>
      </c>
      <c r="D1414" s="2" t="s">
        <v>0</v>
      </c>
      <c r="E1414" s="1" t="str">
        <f>"04054323"</f>
        <v>04054323</v>
      </c>
      <c r="F1414" s="1" t="str">
        <f>"Рогатинська міська рада"</f>
        <v>Рогатинська міська рада</v>
      </c>
      <c r="G1414" s="1" t="str">
        <f t="shared" si="189"/>
        <v>Фізична особа</v>
      </c>
      <c r="H1414" s="1" t="s">
        <v>20</v>
      </c>
      <c r="I1414" s="1" t="s">
        <v>20</v>
      </c>
      <c r="J1414" s="1" t="str">
        <f t="shared" si="190"/>
        <v>Закрито</v>
      </c>
      <c r="K1414" s="5">
        <v>45637</v>
      </c>
      <c r="L1414" s="1" t="s">
        <v>20</v>
      </c>
      <c r="M1414" s="1" t="s">
        <v>22</v>
      </c>
      <c r="N1414" s="5">
        <v>45637</v>
      </c>
    </row>
    <row r="1415" spans="1:14" x14ac:dyDescent="0.3">
      <c r="A1415" s="1" t="str">
        <f>"9_1643/04054323-11/2024/О"</f>
        <v>9_1643/04054323-11/2024/О</v>
      </c>
      <c r="B1415" s="6">
        <v>45608</v>
      </c>
      <c r="C1415" s="1" t="str">
        <f>"01-1"</f>
        <v>01-1</v>
      </c>
      <c r="D1415" s="2" t="s">
        <v>0</v>
      </c>
      <c r="E1415" s="1" t="str">
        <f>"04054323"</f>
        <v>04054323</v>
      </c>
      <c r="F1415" s="1" t="str">
        <f>"Рогатинська міська рада"</f>
        <v>Рогатинська міська рада</v>
      </c>
      <c r="G1415" s="1" t="s">
        <v>21</v>
      </c>
      <c r="H1415" s="1" t="s">
        <v>20</v>
      </c>
      <c r="I1415" s="1" t="s">
        <v>20</v>
      </c>
      <c r="J1415" s="1" t="str">
        <f t="shared" si="190"/>
        <v>Закрито</v>
      </c>
      <c r="K1415" s="5">
        <v>45637</v>
      </c>
      <c r="L1415" s="1" t="s">
        <v>20</v>
      </c>
      <c r="M1415" s="1" t="s">
        <v>22</v>
      </c>
      <c r="N1415" s="5">
        <v>45637</v>
      </c>
    </row>
    <row r="1416" spans="1:14" x14ac:dyDescent="0.3">
      <c r="A1416" s="1" t="str">
        <f>"9_1644/04054323-11/2024/С"</f>
        <v>9_1644/04054323-11/2024/С</v>
      </c>
      <c r="B1416" s="6">
        <v>45608</v>
      </c>
      <c r="C1416" s="1" t="str">
        <f>"01-2"</f>
        <v>01-2</v>
      </c>
      <c r="D1416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виробництва"</f>
        <v>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</v>
      </c>
      <c r="E1416" s="1" t="str">
        <f>"04054323"</f>
        <v>04054323</v>
      </c>
      <c r="F1416" s="1" t="str">
        <f>"Рогатинська міська рада"</f>
        <v>Рогатинська міська рада</v>
      </c>
      <c r="G1416" s="1" t="str">
        <f t="shared" ref="G1416:G1433" si="191">"Фізична особа"</f>
        <v>Фізична особа</v>
      </c>
      <c r="H1416" s="1" t="s">
        <v>20</v>
      </c>
      <c r="I1416" s="1" t="s">
        <v>20</v>
      </c>
      <c r="J1416" s="1" t="str">
        <f t="shared" si="190"/>
        <v>Закрито</v>
      </c>
      <c r="K1416" s="5">
        <v>45637</v>
      </c>
      <c r="L1416" s="1" t="s">
        <v>20</v>
      </c>
      <c r="M1416" s="1" t="s">
        <v>22</v>
      </c>
      <c r="N1416" s="5">
        <v>45637</v>
      </c>
    </row>
    <row r="1417" spans="1:14" x14ac:dyDescent="0.3">
      <c r="A1417" s="1" t="str">
        <f>"4_957-11/2024/К"</f>
        <v>4_957-11/2024/К</v>
      </c>
      <c r="B1417" s="6">
        <v>45608</v>
      </c>
      <c r="C1417" s="1" t="str">
        <f>"00155"</f>
        <v>00155</v>
      </c>
      <c r="D1417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417" s="1" t="str">
        <f>"03193413"</f>
        <v>03193413</v>
      </c>
      <c r="F141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17" s="1" t="str">
        <f t="shared" si="191"/>
        <v>Фізична особа</v>
      </c>
      <c r="H1417" s="1" t="s">
        <v>20</v>
      </c>
      <c r="I1417" s="1" t="s">
        <v>20</v>
      </c>
      <c r="J1417" s="1" t="str">
        <f>"Заявника сповіщено про результат"</f>
        <v>Заявника сповіщено про результат</v>
      </c>
      <c r="K1417" s="5">
        <v>45618</v>
      </c>
      <c r="L1417" s="1" t="s">
        <v>20</v>
      </c>
      <c r="M1417" s="1" t="s">
        <v>22</v>
      </c>
      <c r="N1417" s="5">
        <v>45618</v>
      </c>
    </row>
    <row r="1418" spans="1:14" x14ac:dyDescent="0.3">
      <c r="A1418" s="1" t="str">
        <f>"4_958-11/2024/П"</f>
        <v>4_958-11/2024/П</v>
      </c>
      <c r="B1418" s="6">
        <v>45608</v>
      </c>
      <c r="C1418" s="1" t="str">
        <f>"33"</f>
        <v>33</v>
      </c>
      <c r="D1418" s="2" t="str">
        <f>"33 Довідки різного характеру"</f>
        <v>33 Довідки різного характеру</v>
      </c>
      <c r="E1418" s="1" t="s">
        <v>20</v>
      </c>
      <c r="F14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18" s="1" t="str">
        <f t="shared" si="191"/>
        <v>Фізична особа</v>
      </c>
      <c r="H1418" s="1" t="s">
        <v>20</v>
      </c>
      <c r="I1418" s="1" t="s">
        <v>20</v>
      </c>
      <c r="J1418" s="1" t="str">
        <f>"Закрито"</f>
        <v>Закрито</v>
      </c>
      <c r="K1418" s="5">
        <v>45608</v>
      </c>
      <c r="L1418" s="1" t="s">
        <v>20</v>
      </c>
      <c r="M1418" s="1" t="s">
        <v>22</v>
      </c>
      <c r="N1418" s="5">
        <v>45608</v>
      </c>
    </row>
    <row r="1419" spans="1:14" x14ac:dyDescent="0.3">
      <c r="A1419" s="1" t="str">
        <f>"4_959-11/2024/Г"</f>
        <v>4_959-11/2024/Г</v>
      </c>
      <c r="B1419" s="6">
        <v>45608</v>
      </c>
      <c r="C1419" s="1" t="str">
        <f>"33"</f>
        <v>33</v>
      </c>
      <c r="D1419" s="2" t="str">
        <f>"33 Довідки різного характеру"</f>
        <v>33 Довідки різного характеру</v>
      </c>
      <c r="E1419" s="1" t="s">
        <v>20</v>
      </c>
      <c r="F141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19" s="1" t="str">
        <f t="shared" si="191"/>
        <v>Фізична особа</v>
      </c>
      <c r="H1419" s="1" t="s">
        <v>20</v>
      </c>
      <c r="I1419" s="1" t="s">
        <v>20</v>
      </c>
      <c r="J1419" s="1" t="str">
        <f>"Закрито"</f>
        <v>Закрито</v>
      </c>
      <c r="K1419" s="5">
        <v>45608</v>
      </c>
      <c r="L1419" s="1" t="s">
        <v>20</v>
      </c>
      <c r="M1419" s="1" t="s">
        <v>22</v>
      </c>
      <c r="N1419" s="5">
        <v>45608</v>
      </c>
    </row>
    <row r="1420" spans="1:14" x14ac:dyDescent="0.3">
      <c r="A1420" s="1" t="str">
        <f>"4_960-11/2024/К"</f>
        <v>4_960-11/2024/К</v>
      </c>
      <c r="B1420" s="6">
        <v>45608</v>
      </c>
      <c r="C1420" s="1" t="str">
        <f>"33"</f>
        <v>33</v>
      </c>
      <c r="D1420" s="2" t="str">
        <f>"33 Довідки різного характеру"</f>
        <v>33 Довідки різного характеру</v>
      </c>
      <c r="E1420" s="1" t="s">
        <v>20</v>
      </c>
      <c r="F142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20" s="1" t="str">
        <f t="shared" si="191"/>
        <v>Фізична особа</v>
      </c>
      <c r="H1420" s="1" t="s">
        <v>20</v>
      </c>
      <c r="I1420" s="1" t="s">
        <v>20</v>
      </c>
      <c r="J1420" s="1" t="str">
        <f>"Закрито"</f>
        <v>Закрито</v>
      </c>
      <c r="K1420" s="5">
        <v>45608</v>
      </c>
      <c r="L1420" s="1" t="s">
        <v>20</v>
      </c>
      <c r="M1420" s="1" t="s">
        <v>22</v>
      </c>
      <c r="N1420" s="5">
        <v>45608</v>
      </c>
    </row>
    <row r="1421" spans="1:14" x14ac:dyDescent="0.3">
      <c r="A1421" s="1" t="str">
        <f>"4_961-11/2024/А"</f>
        <v>4_961-11/2024/А</v>
      </c>
      <c r="B1421" s="6">
        <v>45608</v>
      </c>
      <c r="C1421" s="1" t="str">
        <f>"00155"</f>
        <v>00155</v>
      </c>
      <c r="D1421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421" s="1" t="str">
        <f>"03193413"</f>
        <v>03193413</v>
      </c>
      <c r="F142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21" s="1" t="str">
        <f t="shared" si="191"/>
        <v>Фізична особа</v>
      </c>
      <c r="H1421" s="1" t="s">
        <v>20</v>
      </c>
      <c r="I1421" s="1" t="s">
        <v>20</v>
      </c>
      <c r="J1421" s="1" t="str">
        <f>"Заявника сповіщено про результат"</f>
        <v>Заявника сповіщено про результат</v>
      </c>
      <c r="K1421" s="5">
        <v>45618</v>
      </c>
      <c r="L1421" s="1" t="s">
        <v>20</v>
      </c>
      <c r="M1421" s="1" t="s">
        <v>22</v>
      </c>
      <c r="N1421" s="5">
        <v>45618</v>
      </c>
    </row>
    <row r="1422" spans="1:14" x14ac:dyDescent="0.3">
      <c r="A1422" s="1" t="str">
        <f>"4_962-11/2024/А"</f>
        <v>4_962-11/2024/А</v>
      </c>
      <c r="B1422" s="6">
        <v>45608</v>
      </c>
      <c r="C1422" s="1" t="str">
        <f>"33"</f>
        <v>33</v>
      </c>
      <c r="D1422" s="2" t="str">
        <f>"33 Довідки різного характеру"</f>
        <v>33 Довідки різного характеру</v>
      </c>
      <c r="E1422" s="1" t="s">
        <v>20</v>
      </c>
      <c r="F142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22" s="1" t="str">
        <f t="shared" si="191"/>
        <v>Фізична особа</v>
      </c>
      <c r="H1422" s="1" t="s">
        <v>20</v>
      </c>
      <c r="I1422" s="1" t="s">
        <v>20</v>
      </c>
      <c r="J1422" s="1" t="str">
        <f>"Закрито"</f>
        <v>Закрито</v>
      </c>
      <c r="K1422" s="5">
        <v>45608</v>
      </c>
      <c r="L1422" s="1" t="s">
        <v>20</v>
      </c>
      <c r="M1422" s="1" t="s">
        <v>22</v>
      </c>
      <c r="N1422" s="5">
        <v>45608</v>
      </c>
    </row>
    <row r="1423" spans="1:14" x14ac:dyDescent="0.3">
      <c r="A1423" s="1" t="str">
        <f>"4_963-11/2024/А"</f>
        <v>4_963-11/2024/А</v>
      </c>
      <c r="B1423" s="6">
        <v>45608</v>
      </c>
      <c r="C1423" s="1" t="str">
        <f>"00038"</f>
        <v>00038</v>
      </c>
      <c r="D142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23" s="1" t="s">
        <v>20</v>
      </c>
      <c r="F14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23" s="1" t="str">
        <f t="shared" si="191"/>
        <v>Фізична особа</v>
      </c>
      <c r="H1423" s="1" t="s">
        <v>20</v>
      </c>
      <c r="I1423" s="1" t="s">
        <v>20</v>
      </c>
      <c r="J1423" s="1" t="str">
        <f>"Закрито"</f>
        <v>Закрито</v>
      </c>
      <c r="K1423" s="5">
        <v>45608</v>
      </c>
      <c r="L1423" s="1" t="s">
        <v>20</v>
      </c>
      <c r="M1423" s="1" t="s">
        <v>22</v>
      </c>
      <c r="N1423" s="5">
        <v>45608</v>
      </c>
    </row>
    <row r="1424" spans="1:14" x14ac:dyDescent="0.3">
      <c r="A1424" s="1" t="str">
        <f>"4_964-11/2024/А"</f>
        <v>4_964-11/2024/А</v>
      </c>
      <c r="B1424" s="6">
        <v>45608</v>
      </c>
      <c r="C1424" s="1" t="str">
        <f>"00038"</f>
        <v>00038</v>
      </c>
      <c r="D142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24" s="1" t="s">
        <v>20</v>
      </c>
      <c r="F14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24" s="1" t="str">
        <f t="shared" si="191"/>
        <v>Фізична особа</v>
      </c>
      <c r="H1424" s="1" t="s">
        <v>20</v>
      </c>
      <c r="I1424" s="1" t="s">
        <v>20</v>
      </c>
      <c r="J1424" s="1" t="str">
        <f>"Закрито"</f>
        <v>Закрито</v>
      </c>
      <c r="K1424" s="5">
        <v>45608</v>
      </c>
      <c r="L1424" s="1" t="s">
        <v>20</v>
      </c>
      <c r="M1424" s="1" t="s">
        <v>22</v>
      </c>
      <c r="N1424" s="5">
        <v>45608</v>
      </c>
    </row>
    <row r="1425" spans="1:14" x14ac:dyDescent="0.3">
      <c r="A1425" s="1" t="str">
        <f>"4_965-11/2024/Г"</f>
        <v>4_965-11/2024/Г</v>
      </c>
      <c r="B1425" s="6">
        <v>45608</v>
      </c>
      <c r="C1425" s="1" t="str">
        <f>"00155"</f>
        <v>00155</v>
      </c>
      <c r="D1425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425" s="1" t="str">
        <f>"03193413"</f>
        <v>03193413</v>
      </c>
      <c r="F142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25" s="1" t="str">
        <f t="shared" si="191"/>
        <v>Фізична особа</v>
      </c>
      <c r="H1425" s="1" t="s">
        <v>20</v>
      </c>
      <c r="I1425" s="1" t="s">
        <v>20</v>
      </c>
      <c r="J1425" s="1" t="str">
        <f>"Заявника сповіщено про результат"</f>
        <v>Заявника сповіщено про результат</v>
      </c>
      <c r="K1425" s="5">
        <v>45618</v>
      </c>
      <c r="L1425" s="1" t="s">
        <v>20</v>
      </c>
      <c r="M1425" s="1" t="s">
        <v>22</v>
      </c>
      <c r="N1425" s="5">
        <v>45618</v>
      </c>
    </row>
    <row r="1426" spans="1:14" x14ac:dyDescent="0.3">
      <c r="A1426" s="1" t="str">
        <f>"4_966-11/2024/А"</f>
        <v>4_966-11/2024/А</v>
      </c>
      <c r="B1426" s="6">
        <v>45608</v>
      </c>
      <c r="C1426" s="1" t="str">
        <f>"00038"</f>
        <v>00038</v>
      </c>
      <c r="D142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26" s="1" t="s">
        <v>20</v>
      </c>
      <c r="F142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26" s="1" t="str">
        <f t="shared" si="191"/>
        <v>Фізична особа</v>
      </c>
      <c r="H1426" s="1" t="s">
        <v>20</v>
      </c>
      <c r="I1426" s="1" t="s">
        <v>20</v>
      </c>
      <c r="J1426" s="1" t="str">
        <f t="shared" ref="J1426:J1455" si="192">"Закрито"</f>
        <v>Закрито</v>
      </c>
      <c r="K1426" s="5">
        <v>45608</v>
      </c>
      <c r="L1426" s="1" t="s">
        <v>20</v>
      </c>
      <c r="M1426" s="1" t="s">
        <v>22</v>
      </c>
      <c r="N1426" s="5">
        <v>45608</v>
      </c>
    </row>
    <row r="1427" spans="1:14" x14ac:dyDescent="0.3">
      <c r="A1427" s="1" t="str">
        <f>"9_1645/04054323-11/2024/К"</f>
        <v>9_1645/04054323-11/2024/К</v>
      </c>
      <c r="B1427" s="6">
        <v>45609</v>
      </c>
      <c r="C1427" s="1" t="str">
        <f>"01-1"</f>
        <v>01-1</v>
      </c>
      <c r="D1427" s="2" t="s">
        <v>0</v>
      </c>
      <c r="E1427" s="1" t="str">
        <f>"04054323"</f>
        <v>04054323</v>
      </c>
      <c r="F1427" s="1" t="str">
        <f>"Рогатинська міська рада"</f>
        <v>Рогатинська міська рада</v>
      </c>
      <c r="G1427" s="1" t="str">
        <f t="shared" si="191"/>
        <v>Фізична особа</v>
      </c>
      <c r="H1427" s="1" t="s">
        <v>20</v>
      </c>
      <c r="I1427" s="1" t="s">
        <v>20</v>
      </c>
      <c r="J1427" s="1" t="str">
        <f t="shared" si="192"/>
        <v>Закрито</v>
      </c>
      <c r="K1427" s="5">
        <v>45636</v>
      </c>
      <c r="L1427" s="1" t="s">
        <v>20</v>
      </c>
      <c r="M1427" s="1" t="s">
        <v>22</v>
      </c>
      <c r="N1427" s="5">
        <v>45636</v>
      </c>
    </row>
    <row r="1428" spans="1:14" x14ac:dyDescent="0.3">
      <c r="A1428" s="1" t="str">
        <f>"24_334-11/2024/Ш"</f>
        <v>24_334-11/2024/Ш</v>
      </c>
      <c r="B1428" s="6">
        <v>45609</v>
      </c>
      <c r="C1428" s="1" t="str">
        <f>"33"</f>
        <v>33</v>
      </c>
      <c r="D1428" s="2" t="str">
        <f>"33 Довідки різного характеру"</f>
        <v>33 Довідки різного характеру</v>
      </c>
      <c r="E1428" s="1" t="s">
        <v>20</v>
      </c>
      <c r="F14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28" s="1" t="str">
        <f t="shared" si="191"/>
        <v>Фізична особа</v>
      </c>
      <c r="H1428" s="1" t="s">
        <v>20</v>
      </c>
      <c r="I1428" s="1" t="s">
        <v>20</v>
      </c>
      <c r="J1428" s="1" t="str">
        <f t="shared" si="192"/>
        <v>Закрито</v>
      </c>
      <c r="K1428" s="5">
        <v>45609</v>
      </c>
      <c r="L1428" s="1" t="s">
        <v>20</v>
      </c>
      <c r="M1428" s="1" t="s">
        <v>22</v>
      </c>
      <c r="N1428" s="5">
        <v>45609</v>
      </c>
    </row>
    <row r="1429" spans="1:14" x14ac:dyDescent="0.3">
      <c r="A1429" s="1" t="str">
        <f>"3_843-11/2024/Г"</f>
        <v>3_843-11/2024/Г</v>
      </c>
      <c r="B1429" s="6">
        <v>45609</v>
      </c>
      <c r="C1429" s="1" t="str">
        <f>"33"</f>
        <v>33</v>
      </c>
      <c r="D1429" s="2" t="str">
        <f>"33 Довідки різного характеру"</f>
        <v>33 Довідки різного характеру</v>
      </c>
      <c r="E1429" s="1" t="s">
        <v>20</v>
      </c>
      <c r="F142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29" s="1" t="str">
        <f t="shared" si="191"/>
        <v>Фізична особа</v>
      </c>
      <c r="H1429" s="1" t="s">
        <v>20</v>
      </c>
      <c r="I1429" s="1" t="s">
        <v>20</v>
      </c>
      <c r="J1429" s="1" t="str">
        <f t="shared" si="192"/>
        <v>Закрито</v>
      </c>
      <c r="K1429" s="5">
        <v>45609</v>
      </c>
      <c r="L1429" s="1" t="s">
        <v>20</v>
      </c>
      <c r="M1429" s="1" t="s">
        <v>22</v>
      </c>
      <c r="N1429" s="5">
        <v>45609</v>
      </c>
    </row>
    <row r="1430" spans="1:14" x14ac:dyDescent="0.3">
      <c r="A1430" s="1" t="str">
        <f>"9_1646/04054323-11/2024/Я"</f>
        <v>9_1646/04054323-11/2024/Я</v>
      </c>
      <c r="B1430" s="6">
        <v>45609</v>
      </c>
      <c r="C1430" s="1" t="str">
        <f>"01-1"</f>
        <v>01-1</v>
      </c>
      <c r="D1430" s="2" t="s">
        <v>0</v>
      </c>
      <c r="E1430" s="1" t="str">
        <f>"04054323"</f>
        <v>04054323</v>
      </c>
      <c r="F1430" s="1" t="str">
        <f>"Рогатинська міська рада"</f>
        <v>Рогатинська міська рада</v>
      </c>
      <c r="G1430" s="1" t="str">
        <f t="shared" si="191"/>
        <v>Фізична особа</v>
      </c>
      <c r="H1430" s="1" t="s">
        <v>20</v>
      </c>
      <c r="I1430" s="1" t="s">
        <v>20</v>
      </c>
      <c r="J1430" s="1" t="str">
        <f t="shared" si="192"/>
        <v>Закрито</v>
      </c>
      <c r="K1430" s="5">
        <v>45636</v>
      </c>
      <c r="L1430" s="1" t="s">
        <v>20</v>
      </c>
      <c r="M1430" s="1" t="s">
        <v>22</v>
      </c>
      <c r="N1430" s="5">
        <v>45636</v>
      </c>
    </row>
    <row r="1431" spans="1:14" x14ac:dyDescent="0.3">
      <c r="A1431" s="1" t="str">
        <f>"9_1647/04054323-11/2024/Я"</f>
        <v>9_1647/04054323-11/2024/Я</v>
      </c>
      <c r="B1431" s="6">
        <v>45609</v>
      </c>
      <c r="C1431" s="1" t="str">
        <f>"01"</f>
        <v>01</v>
      </c>
      <c r="D1431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431" s="1" t="str">
        <f>"04054323"</f>
        <v>04054323</v>
      </c>
      <c r="F1431" s="1" t="str">
        <f>"Рогатинська міська рада"</f>
        <v>Рогатинська міська рада</v>
      </c>
      <c r="G1431" s="1" t="str">
        <f t="shared" si="191"/>
        <v>Фізична особа</v>
      </c>
      <c r="H1431" s="1" t="s">
        <v>20</v>
      </c>
      <c r="I1431" s="1" t="s">
        <v>20</v>
      </c>
      <c r="J1431" s="1" t="str">
        <f t="shared" si="192"/>
        <v>Закрито</v>
      </c>
      <c r="K1431" s="5">
        <v>45636</v>
      </c>
      <c r="L1431" s="1" t="s">
        <v>20</v>
      </c>
      <c r="M1431" s="1" t="s">
        <v>22</v>
      </c>
      <c r="N1431" s="5">
        <v>45636</v>
      </c>
    </row>
    <row r="1432" spans="1:14" x14ac:dyDescent="0.3">
      <c r="A1432" s="1" t="str">
        <f>"1_5807/2129-11/2024/С"</f>
        <v>1_5807/2129-11/2024/С</v>
      </c>
      <c r="B1432" s="6">
        <v>45609</v>
      </c>
      <c r="C1432" s="1" t="str">
        <f>"00037"</f>
        <v>00037</v>
      </c>
      <c r="D1432" s="2" t="str">
        <f>"Зняття з реєстрації місця проживання"</f>
        <v>Зняття з реєстрації місця проживання</v>
      </c>
      <c r="E1432" s="1" t="s">
        <v>20</v>
      </c>
      <c r="F14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32" s="1" t="str">
        <f t="shared" si="191"/>
        <v>Фізична особа</v>
      </c>
      <c r="H1432" s="1" t="s">
        <v>20</v>
      </c>
      <c r="I1432" s="1" t="s">
        <v>20</v>
      </c>
      <c r="J1432" s="1" t="str">
        <f t="shared" si="192"/>
        <v>Закрито</v>
      </c>
      <c r="K1432" s="6">
        <v>45609</v>
      </c>
      <c r="L1432" s="1" t="str">
        <f>"45.42"</f>
        <v>45.42</v>
      </c>
      <c r="M1432" s="1" t="s">
        <v>22</v>
      </c>
      <c r="N1432" s="5">
        <v>45609</v>
      </c>
    </row>
    <row r="1433" spans="1:14" x14ac:dyDescent="0.3">
      <c r="A1433" s="1" t="str">
        <f>"1_5808/2129-11/2024/С"</f>
        <v>1_5808/2129-11/2024/С</v>
      </c>
      <c r="B1433" s="6">
        <v>45609</v>
      </c>
      <c r="C1433" s="1" t="str">
        <f>"00037"</f>
        <v>00037</v>
      </c>
      <c r="D1433" s="2" t="str">
        <f>"Зняття з реєстрації місця проживання"</f>
        <v>Зняття з реєстрації місця проживання</v>
      </c>
      <c r="E1433" s="1" t="s">
        <v>20</v>
      </c>
      <c r="F143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33" s="1" t="str">
        <f t="shared" si="191"/>
        <v>Фізична особа</v>
      </c>
      <c r="H1433" s="1" t="s">
        <v>20</v>
      </c>
      <c r="I1433" s="1" t="s">
        <v>20</v>
      </c>
      <c r="J1433" s="1" t="str">
        <f t="shared" si="192"/>
        <v>Закрито</v>
      </c>
      <c r="K1433" s="6">
        <v>45609</v>
      </c>
      <c r="L1433" s="1" t="str">
        <f>"45.42"</f>
        <v>45.42</v>
      </c>
      <c r="M1433" s="1" t="s">
        <v>22</v>
      </c>
      <c r="N1433" s="5">
        <v>45609</v>
      </c>
    </row>
    <row r="1434" spans="1:14" x14ac:dyDescent="0.3">
      <c r="A1434" s="1" t="str">
        <f>"7_258/3-11/2024/П"</f>
        <v>7_258/3-11/2024/П</v>
      </c>
      <c r="B1434" s="6">
        <v>45609</v>
      </c>
      <c r="C1434" s="1" t="str">
        <f>"01399"</f>
        <v>01399</v>
      </c>
      <c r="D1434" s="2" t="str">
        <f>"Державна реєстрація потужностей оператора ринку"</f>
        <v>Державна реєстрація потужностей оператора ринку</v>
      </c>
      <c r="E1434" s="1" t="s">
        <v>20</v>
      </c>
      <c r="F1434" s="1" t="str">
        <f>"Рогатинський відділ Івано-Франківського районного управління Головного управління Держпродспоживслужби в Івано-Франківській області"</f>
        <v>Рогатинський відділ Івано-Франківського районного управління Головного управління Держпродспоживслужби в Івано-Франківській області</v>
      </c>
      <c r="G1434" s="1" t="str">
        <f>"Юридична особа"</f>
        <v>Юридична особа</v>
      </c>
      <c r="H1434" s="1" t="str">
        <f>"Приватне агропромислове підприємство ""Агропродсервіс"""</f>
        <v>Приватне агропромислове підприємство "Агропродсервіс"</v>
      </c>
      <c r="I1434" s="1" t="str">
        <f>"30356854"</f>
        <v>30356854</v>
      </c>
      <c r="J1434" s="1" t="str">
        <f t="shared" si="192"/>
        <v>Закрито</v>
      </c>
      <c r="K1434" s="5">
        <v>45616</v>
      </c>
      <c r="L1434" s="1" t="s">
        <v>20</v>
      </c>
      <c r="M1434" s="1" t="s">
        <v>22</v>
      </c>
      <c r="N1434" s="5">
        <v>45616</v>
      </c>
    </row>
    <row r="1435" spans="1:14" x14ac:dyDescent="0.3">
      <c r="A1435" s="1" t="str">
        <f>"21_653-11/2024/С"</f>
        <v>21_653-11/2024/С</v>
      </c>
      <c r="B1435" s="6">
        <v>45609</v>
      </c>
      <c r="C1435" s="1" t="str">
        <f>"00038"</f>
        <v>00038</v>
      </c>
      <c r="D143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35" s="1" t="s">
        <v>20</v>
      </c>
      <c r="F143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35" s="1" t="str">
        <f>"Фізична особа"</f>
        <v>Фізична особа</v>
      </c>
      <c r="H1435" s="1" t="s">
        <v>20</v>
      </c>
      <c r="I1435" s="1" t="s">
        <v>20</v>
      </c>
      <c r="J1435" s="1" t="str">
        <f t="shared" si="192"/>
        <v>Закрито</v>
      </c>
      <c r="K1435" s="5">
        <v>45609</v>
      </c>
      <c r="L1435" s="1" t="s">
        <v>20</v>
      </c>
      <c r="M1435" s="1" t="s">
        <v>22</v>
      </c>
      <c r="N1435" s="5">
        <v>45609</v>
      </c>
    </row>
    <row r="1436" spans="1:14" x14ac:dyDescent="0.3">
      <c r="A1436" s="1" t="str">
        <f>"1_5809/2129-11/2024/М"</f>
        <v>1_5809/2129-11/2024/М</v>
      </c>
      <c r="B1436" s="6">
        <v>45609</v>
      </c>
      <c r="C1436" s="1" t="str">
        <f>"00038"</f>
        <v>00038</v>
      </c>
      <c r="D143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36" s="1" t="s">
        <v>20</v>
      </c>
      <c r="F143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36" s="1" t="str">
        <f>"Фізична особа"</f>
        <v>Фізична особа</v>
      </c>
      <c r="H1436" s="1" t="s">
        <v>20</v>
      </c>
      <c r="I1436" s="1" t="s">
        <v>20</v>
      </c>
      <c r="J1436" s="1" t="str">
        <f t="shared" si="192"/>
        <v>Закрито</v>
      </c>
      <c r="K1436" s="6">
        <v>45609</v>
      </c>
      <c r="L1436" s="1" t="s">
        <v>20</v>
      </c>
      <c r="M1436" s="1" t="s">
        <v>22</v>
      </c>
      <c r="N1436" s="5">
        <v>45609</v>
      </c>
    </row>
    <row r="1437" spans="1:14" x14ac:dyDescent="0.3">
      <c r="A1437" s="1" t="str">
        <f>"5_498/2129-11/2024/Т"</f>
        <v>5_498/2129-11/2024/Т</v>
      </c>
      <c r="B1437" s="6">
        <v>45609</v>
      </c>
      <c r="C1437" s="1" t="str">
        <f>"00054"</f>
        <v>00054</v>
      </c>
      <c r="D1437" s="2" t="s">
        <v>2</v>
      </c>
      <c r="E1437" s="1" t="s">
        <v>20</v>
      </c>
      <c r="F143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37" s="1" t="str">
        <f>"Юридична особа"</f>
        <v>Юридична особа</v>
      </c>
      <c r="H1437" s="1" t="str">
        <f>"ТОВАРИСТВО З ОБМЕЖЕНОЮ ВІДПОВІДАЛЬНІСТЮ ""ФІРМА ГАЛБУД"""</f>
        <v>ТОВАРИСТВО З ОБМЕЖЕНОЮ ВІДПОВІДАЛЬНІСТЮ "ФІРМА ГАЛБУД"</v>
      </c>
      <c r="I1437" s="1" t="str">
        <f>"32447230"</f>
        <v>32447230</v>
      </c>
      <c r="J1437" s="1" t="str">
        <f t="shared" si="192"/>
        <v>Закрито</v>
      </c>
      <c r="K1437" s="5">
        <v>45609</v>
      </c>
      <c r="L1437" s="1" t="str">
        <f>"910.0"</f>
        <v>910.0</v>
      </c>
      <c r="M1437" s="1" t="s">
        <v>22</v>
      </c>
      <c r="N1437" s="5">
        <v>45609</v>
      </c>
    </row>
    <row r="1438" spans="1:14" x14ac:dyDescent="0.3">
      <c r="A1438" s="1" t="str">
        <f>"25_429-11/2024/З"</f>
        <v>25_429-11/2024/З</v>
      </c>
      <c r="B1438" s="6">
        <v>45609</v>
      </c>
      <c r="C1438" s="1" t="str">
        <f>"00064"</f>
        <v>00064</v>
      </c>
      <c r="D1438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438" s="1" t="s">
        <v>20</v>
      </c>
      <c r="F1438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438" s="1" t="str">
        <f>"Фізична особа"</f>
        <v>Фізична особа</v>
      </c>
      <c r="H1438" s="1" t="s">
        <v>20</v>
      </c>
      <c r="I1438" s="1" t="s">
        <v>20</v>
      </c>
      <c r="J1438" s="1" t="str">
        <f t="shared" si="192"/>
        <v>Закрито</v>
      </c>
      <c r="K1438" s="1" t="s">
        <v>20</v>
      </c>
      <c r="L1438" s="1" t="s">
        <v>20</v>
      </c>
      <c r="M1438" s="1" t="s">
        <v>22</v>
      </c>
      <c r="N1438" s="1" t="s">
        <v>20</v>
      </c>
    </row>
    <row r="1439" spans="1:14" x14ac:dyDescent="0.3">
      <c r="A1439" s="1" t="str">
        <f>"5_499/2129-11/2024/Ф"</f>
        <v>5_499/2129-11/2024/Ф</v>
      </c>
      <c r="B1439" s="6">
        <v>45609</v>
      </c>
      <c r="C1439" s="1" t="str">
        <f>"00108"</f>
        <v>00108</v>
      </c>
      <c r="D1439" s="2" t="str">
        <f>"Державна реєстрація змін до відомостей про фізичну особу – підприємця, що містяться в Єдиному державному реєстрі юридичних осіб,  фізичних осіб – підприємців та громадських формувань"</f>
        <v>Державна реєстрація змін до відомостей про фізичну особу – підприємця, що містяться в Єдиному державному реєстрі юридичних осіб,  фізичних осіб – підприємців та громадських формувань</v>
      </c>
      <c r="E1439" s="1" t="s">
        <v>20</v>
      </c>
      <c r="F143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39" s="1" t="str">
        <f>"Фізична особа - підприємець"</f>
        <v>Фізична особа - підприємець</v>
      </c>
      <c r="H1439" s="1" t="str">
        <f>"ФОП ГУНЧАК ІРИНА ВОЛОДИМИРІВНА"</f>
        <v>ФОП ГУНЧАК ІРИНА ВОЛОДИМИРІВНА</v>
      </c>
      <c r="I1439" s="1" t="s">
        <v>20</v>
      </c>
      <c r="J1439" s="1" t="str">
        <f t="shared" si="192"/>
        <v>Закрито</v>
      </c>
      <c r="K1439" s="5">
        <v>45609</v>
      </c>
      <c r="L1439" s="1" t="str">
        <f>"300.0"</f>
        <v>300.0</v>
      </c>
      <c r="M1439" s="1" t="s">
        <v>22</v>
      </c>
      <c r="N1439" s="5">
        <v>45609</v>
      </c>
    </row>
    <row r="1440" spans="1:14" x14ac:dyDescent="0.3">
      <c r="A1440" s="1" t="str">
        <f>"25_430-11/2024/Т"</f>
        <v>25_430-11/2024/Т</v>
      </c>
      <c r="B1440" s="6">
        <v>45609</v>
      </c>
      <c r="C1440" s="1" t="str">
        <f>"00064"</f>
        <v>00064</v>
      </c>
      <c r="D1440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440" s="1" t="s">
        <v>20</v>
      </c>
      <c r="F1440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440" s="1" t="str">
        <f>"Фізична особа"</f>
        <v>Фізична особа</v>
      </c>
      <c r="H1440" s="1" t="s">
        <v>20</v>
      </c>
      <c r="I1440" s="1" t="s">
        <v>20</v>
      </c>
      <c r="J1440" s="1" t="str">
        <f t="shared" si="192"/>
        <v>Закрито</v>
      </c>
      <c r="K1440" s="1" t="s">
        <v>20</v>
      </c>
      <c r="L1440" s="1" t="s">
        <v>20</v>
      </c>
      <c r="M1440" s="1" t="s">
        <v>22</v>
      </c>
      <c r="N1440" s="1" t="s">
        <v>20</v>
      </c>
    </row>
    <row r="1441" spans="1:14" x14ac:dyDescent="0.3">
      <c r="A1441" s="1" t="str">
        <f>"5_500/2129-11/2024/Б"</f>
        <v>5_500/2129-11/2024/Б</v>
      </c>
      <c r="B1441" s="6">
        <v>45609</v>
      </c>
      <c r="C1441" s="1" t="str">
        <f>"00054"</f>
        <v>00054</v>
      </c>
      <c r="D1441" s="2" t="s">
        <v>2</v>
      </c>
      <c r="E1441" s="1" t="s">
        <v>20</v>
      </c>
      <c r="F1441" s="1" t="str">
        <f t="shared" ref="F1441:F1449" si="193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41" s="1" t="str">
        <f>"Юридична особа"</f>
        <v>Юридична особа</v>
      </c>
      <c r="H1441" s="1" t="str">
        <f>"БУРШТИНСЬКА МІСЬКА РАДА"</f>
        <v>БУРШТИНСЬКА МІСЬКА РАДА</v>
      </c>
      <c r="I1441" s="1" t="str">
        <f>"04357466"</f>
        <v>04357466</v>
      </c>
      <c r="J1441" s="1" t="str">
        <f t="shared" si="192"/>
        <v>Закрито</v>
      </c>
      <c r="K1441" s="5">
        <v>45609</v>
      </c>
      <c r="L1441" s="1" t="s">
        <v>20</v>
      </c>
      <c r="M1441" s="1" t="s">
        <v>22</v>
      </c>
      <c r="N1441" s="5">
        <v>45609</v>
      </c>
    </row>
    <row r="1442" spans="1:14" x14ac:dyDescent="0.3">
      <c r="A1442" s="1" t="str">
        <f>"12_863-11/2024/К"</f>
        <v>12_863-11/2024/К</v>
      </c>
      <c r="B1442" s="6">
        <v>45609</v>
      </c>
      <c r="C1442" s="1" t="str">
        <f>"00038"</f>
        <v>00038</v>
      </c>
      <c r="D144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42" s="1" t="s">
        <v>20</v>
      </c>
      <c r="F1442" s="1" t="str">
        <f t="shared" si="193"/>
        <v>Центр надання адміністративних послуг Рогатинської міської ради</v>
      </c>
      <c r="G1442" s="1" t="str">
        <f>"Фізична особа"</f>
        <v>Фізична особа</v>
      </c>
      <c r="H1442" s="1" t="s">
        <v>20</v>
      </c>
      <c r="I1442" s="1" t="s">
        <v>20</v>
      </c>
      <c r="J1442" s="1" t="str">
        <f t="shared" si="192"/>
        <v>Закрито</v>
      </c>
      <c r="K1442" s="5">
        <v>45609</v>
      </c>
      <c r="L1442" s="1" t="s">
        <v>20</v>
      </c>
      <c r="M1442" s="1" t="s">
        <v>22</v>
      </c>
      <c r="N1442" s="5">
        <v>45609</v>
      </c>
    </row>
    <row r="1443" spans="1:14" x14ac:dyDescent="0.3">
      <c r="A1443" s="1" t="str">
        <f>"5_501/2129-11/2024/Б"</f>
        <v>5_501/2129-11/2024/Б</v>
      </c>
      <c r="B1443" s="6">
        <v>45609</v>
      </c>
      <c r="C1443" s="1" t="str">
        <f>"00234"</f>
        <v>00234</v>
      </c>
      <c r="D1443" s="2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1443" s="1" t="s">
        <v>20</v>
      </c>
      <c r="F1443" s="1" t="str">
        <f t="shared" si="193"/>
        <v>Центр надання адміністративних послуг Рогатинської міської ради</v>
      </c>
      <c r="G1443" s="1" t="str">
        <f>"Юридична особа"</f>
        <v>Юридична особа</v>
      </c>
      <c r="H1443" s="1" t="str">
        <f>"БУРШТИНСЬКА МІСЬКА РАДА"</f>
        <v>БУРШТИНСЬКА МІСЬКА РАДА</v>
      </c>
      <c r="I1443" s="1" t="str">
        <f>"04357466"</f>
        <v>04357466</v>
      </c>
      <c r="J1443" s="1" t="str">
        <f t="shared" si="192"/>
        <v>Закрито</v>
      </c>
      <c r="K1443" s="5">
        <v>45609</v>
      </c>
      <c r="L1443" s="1" t="s">
        <v>20</v>
      </c>
      <c r="M1443" s="1" t="s">
        <v>22</v>
      </c>
      <c r="N1443" s="5">
        <v>45609</v>
      </c>
    </row>
    <row r="1444" spans="1:14" x14ac:dyDescent="0.3">
      <c r="A1444" s="1" t="str">
        <f>"5_502/2129-11/2024/Р"</f>
        <v>5_502/2129-11/2024/Р</v>
      </c>
      <c r="B1444" s="6">
        <v>45609</v>
      </c>
      <c r="C1444" s="1" t="str">
        <f>"00234"</f>
        <v>00234</v>
      </c>
      <c r="D1444" s="2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1444" s="1" t="s">
        <v>20</v>
      </c>
      <c r="F1444" s="1" t="str">
        <f t="shared" si="193"/>
        <v>Центр надання адміністративних послуг Рогатинської міської ради</v>
      </c>
      <c r="G1444" s="1" t="str">
        <f>"Юридична особа"</f>
        <v>Юридична особа</v>
      </c>
      <c r="H1444" s="1" t="str">
        <f>"Рогатинська міська рада"</f>
        <v>Рогатинська міська рада</v>
      </c>
      <c r="I1444" s="1" t="str">
        <f>"04054323"</f>
        <v>04054323</v>
      </c>
      <c r="J1444" s="1" t="str">
        <f t="shared" si="192"/>
        <v>Закрито</v>
      </c>
      <c r="K1444" s="5">
        <v>45609</v>
      </c>
      <c r="L1444" s="1" t="s">
        <v>20</v>
      </c>
      <c r="M1444" s="1" t="s">
        <v>22</v>
      </c>
      <c r="N1444" s="5">
        <v>45609</v>
      </c>
    </row>
    <row r="1445" spans="1:14" x14ac:dyDescent="0.3">
      <c r="A1445" s="1" t="str">
        <f>"27_587-11/2024/П"</f>
        <v>27_587-11/2024/П</v>
      </c>
      <c r="B1445" s="6">
        <v>45609</v>
      </c>
      <c r="C1445" s="1" t="str">
        <f>"00038"</f>
        <v>00038</v>
      </c>
      <c r="D144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45" s="1" t="s">
        <v>20</v>
      </c>
      <c r="F1445" s="1" t="str">
        <f t="shared" si="193"/>
        <v>Центр надання адміністративних послуг Рогатинської міської ради</v>
      </c>
      <c r="G1445" s="1" t="str">
        <f t="shared" ref="G1445:G1461" si="194">"Фізична особа"</f>
        <v>Фізична особа</v>
      </c>
      <c r="H1445" s="1" t="s">
        <v>20</v>
      </c>
      <c r="I1445" s="1" t="s">
        <v>20</v>
      </c>
      <c r="J1445" s="1" t="str">
        <f t="shared" si="192"/>
        <v>Закрито</v>
      </c>
      <c r="K1445" s="5">
        <v>45609</v>
      </c>
      <c r="L1445" s="1" t="s">
        <v>20</v>
      </c>
      <c r="M1445" s="1" t="s">
        <v>22</v>
      </c>
      <c r="N1445" s="5">
        <v>45609</v>
      </c>
    </row>
    <row r="1446" spans="1:14" x14ac:dyDescent="0.3">
      <c r="A1446" s="1" t="str">
        <f>"21_654-11/2024/С"</f>
        <v>21_654-11/2024/С</v>
      </c>
      <c r="B1446" s="6">
        <v>45609</v>
      </c>
      <c r="C1446" s="1" t="str">
        <f>"33"</f>
        <v>33</v>
      </c>
      <c r="D1446" s="2" t="str">
        <f>"33 Довідки різного характеру"</f>
        <v>33 Довідки різного характеру</v>
      </c>
      <c r="E1446" s="1" t="s">
        <v>20</v>
      </c>
      <c r="F1446" s="1" t="str">
        <f t="shared" si="193"/>
        <v>Центр надання адміністративних послуг Рогатинської міської ради</v>
      </c>
      <c r="G1446" s="1" t="str">
        <f t="shared" si="194"/>
        <v>Фізична особа</v>
      </c>
      <c r="H1446" s="1" t="s">
        <v>20</v>
      </c>
      <c r="I1446" s="1" t="s">
        <v>20</v>
      </c>
      <c r="J1446" s="1" t="str">
        <f t="shared" si="192"/>
        <v>Закрито</v>
      </c>
      <c r="K1446" s="5">
        <v>45609</v>
      </c>
      <c r="L1446" s="1" t="s">
        <v>20</v>
      </c>
      <c r="M1446" s="1" t="s">
        <v>22</v>
      </c>
      <c r="N1446" s="5">
        <v>45609</v>
      </c>
    </row>
    <row r="1447" spans="1:14" x14ac:dyDescent="0.3">
      <c r="A1447" s="1" t="str">
        <f>"27_588-11/2024/П"</f>
        <v>27_588-11/2024/П</v>
      </c>
      <c r="B1447" s="6">
        <v>45609</v>
      </c>
      <c r="C1447" s="1" t="str">
        <f>"33"</f>
        <v>33</v>
      </c>
      <c r="D1447" s="2" t="str">
        <f>"33 Довідки різного характеру"</f>
        <v>33 Довідки різного характеру</v>
      </c>
      <c r="E1447" s="1" t="s">
        <v>20</v>
      </c>
      <c r="F1447" s="1" t="str">
        <f t="shared" si="193"/>
        <v>Центр надання адміністративних послуг Рогатинської міської ради</v>
      </c>
      <c r="G1447" s="1" t="str">
        <f t="shared" si="194"/>
        <v>Фізична особа</v>
      </c>
      <c r="H1447" s="1" t="s">
        <v>20</v>
      </c>
      <c r="I1447" s="1" t="s">
        <v>20</v>
      </c>
      <c r="J1447" s="1" t="str">
        <f t="shared" si="192"/>
        <v>Закрито</v>
      </c>
      <c r="K1447" s="5">
        <v>45611</v>
      </c>
      <c r="L1447" s="1" t="s">
        <v>20</v>
      </c>
      <c r="M1447" s="1" t="s">
        <v>22</v>
      </c>
      <c r="N1447" s="5">
        <v>45611</v>
      </c>
    </row>
    <row r="1448" spans="1:14" x14ac:dyDescent="0.3">
      <c r="A1448" s="1" t="str">
        <f>"12_864-11/2024/К"</f>
        <v>12_864-11/2024/К</v>
      </c>
      <c r="B1448" s="6">
        <v>45609</v>
      </c>
      <c r="C1448" s="1" t="str">
        <f>"33"</f>
        <v>33</v>
      </c>
      <c r="D1448" s="2" t="str">
        <f>"33 Довідки різного характеру"</f>
        <v>33 Довідки різного характеру</v>
      </c>
      <c r="E1448" s="1" t="s">
        <v>20</v>
      </c>
      <c r="F1448" s="1" t="str">
        <f t="shared" si="193"/>
        <v>Центр надання адміністративних послуг Рогатинської міської ради</v>
      </c>
      <c r="G1448" s="1" t="str">
        <f t="shared" si="194"/>
        <v>Фізична особа</v>
      </c>
      <c r="H1448" s="1" t="s">
        <v>20</v>
      </c>
      <c r="I1448" s="1" t="s">
        <v>20</v>
      </c>
      <c r="J1448" s="1" t="str">
        <f t="shared" si="192"/>
        <v>Закрито</v>
      </c>
      <c r="K1448" s="5">
        <v>45609</v>
      </c>
      <c r="L1448" s="1" t="s">
        <v>20</v>
      </c>
      <c r="M1448" s="1" t="s">
        <v>22</v>
      </c>
      <c r="N1448" s="5">
        <v>45609</v>
      </c>
    </row>
    <row r="1449" spans="1:14" x14ac:dyDescent="0.3">
      <c r="A1449" s="1" t="str">
        <f>"12_865-11/2024/Б"</f>
        <v>12_865-11/2024/Б</v>
      </c>
      <c r="B1449" s="6">
        <v>45609</v>
      </c>
      <c r="C1449" s="1" t="str">
        <f>"00038"</f>
        <v>00038</v>
      </c>
      <c r="D144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49" s="1" t="s">
        <v>20</v>
      </c>
      <c r="F1449" s="1" t="str">
        <f t="shared" si="193"/>
        <v>Центр надання адміністративних послуг Рогатинської міської ради</v>
      </c>
      <c r="G1449" s="1" t="str">
        <f t="shared" si="194"/>
        <v>Фізична особа</v>
      </c>
      <c r="H1449" s="1" t="s">
        <v>20</v>
      </c>
      <c r="I1449" s="1" t="s">
        <v>20</v>
      </c>
      <c r="J1449" s="1" t="str">
        <f t="shared" si="192"/>
        <v>Закрито</v>
      </c>
      <c r="K1449" s="5">
        <v>45609</v>
      </c>
      <c r="L1449" s="1" t="s">
        <v>20</v>
      </c>
      <c r="M1449" s="1" t="s">
        <v>22</v>
      </c>
      <c r="N1449" s="5">
        <v>45609</v>
      </c>
    </row>
    <row r="1450" spans="1:14" x14ac:dyDescent="0.3">
      <c r="A1450" s="1" t="str">
        <f>"9_1648/04054323-11/2024/Г"</f>
        <v>9_1648/04054323-11/2024/Г</v>
      </c>
      <c r="B1450" s="6">
        <v>45609</v>
      </c>
      <c r="C1450" s="1" t="str">
        <f>"01-1"</f>
        <v>01-1</v>
      </c>
      <c r="D1450" s="2" t="s">
        <v>0</v>
      </c>
      <c r="E1450" s="1" t="str">
        <f>"04054323"</f>
        <v>04054323</v>
      </c>
      <c r="F1450" s="1" t="str">
        <f>"Рогатинська міська рада"</f>
        <v>Рогатинська міська рада</v>
      </c>
      <c r="G1450" s="1" t="str">
        <f t="shared" si="194"/>
        <v>Фізична особа</v>
      </c>
      <c r="H1450" s="1" t="s">
        <v>20</v>
      </c>
      <c r="I1450" s="1" t="s">
        <v>20</v>
      </c>
      <c r="J1450" s="1" t="str">
        <f t="shared" si="192"/>
        <v>Закрито</v>
      </c>
      <c r="K1450" s="5">
        <v>45636</v>
      </c>
      <c r="L1450" s="1" t="s">
        <v>20</v>
      </c>
      <c r="M1450" s="1" t="s">
        <v>22</v>
      </c>
      <c r="N1450" s="5">
        <v>45636</v>
      </c>
    </row>
    <row r="1451" spans="1:14" x14ac:dyDescent="0.3">
      <c r="A1451" s="1" t="str">
        <f>"29_464-11/2024/К"</f>
        <v>29_464-11/2024/К</v>
      </c>
      <c r="B1451" s="6">
        <v>45609</v>
      </c>
      <c r="C1451" s="1" t="str">
        <f>"33"</f>
        <v>33</v>
      </c>
      <c r="D1451" s="2" t="str">
        <f>"33 Довідки різного характеру"</f>
        <v>33 Довідки різного характеру</v>
      </c>
      <c r="E1451" s="1" t="s">
        <v>20</v>
      </c>
      <c r="F14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51" s="1" t="str">
        <f t="shared" si="194"/>
        <v>Фізична особа</v>
      </c>
      <c r="H1451" s="1" t="s">
        <v>20</v>
      </c>
      <c r="I1451" s="1" t="s">
        <v>20</v>
      </c>
      <c r="J1451" s="1" t="str">
        <f t="shared" si="192"/>
        <v>Закрито</v>
      </c>
      <c r="K1451" s="5">
        <v>45609</v>
      </c>
      <c r="L1451" s="1" t="s">
        <v>20</v>
      </c>
      <c r="M1451" s="1" t="s">
        <v>22</v>
      </c>
      <c r="N1451" s="5">
        <v>45609</v>
      </c>
    </row>
    <row r="1452" spans="1:14" x14ac:dyDescent="0.3">
      <c r="A1452" s="1" t="str">
        <f>"29_465-11/2024/м"</f>
        <v>29_465-11/2024/м</v>
      </c>
      <c r="B1452" s="6">
        <v>45609</v>
      </c>
      <c r="C1452" s="1" t="str">
        <f>"33"</f>
        <v>33</v>
      </c>
      <c r="D1452" s="2" t="str">
        <f>"33 Довідки різного характеру"</f>
        <v>33 Довідки різного характеру</v>
      </c>
      <c r="E1452" s="1" t="s">
        <v>20</v>
      </c>
      <c r="F14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52" s="1" t="str">
        <f t="shared" si="194"/>
        <v>Фізична особа</v>
      </c>
      <c r="H1452" s="1" t="s">
        <v>20</v>
      </c>
      <c r="I1452" s="1" t="s">
        <v>20</v>
      </c>
      <c r="J1452" s="1" t="str">
        <f t="shared" si="192"/>
        <v>Закрито</v>
      </c>
      <c r="K1452" s="5">
        <v>45609</v>
      </c>
      <c r="L1452" s="1" t="s">
        <v>20</v>
      </c>
      <c r="M1452" s="1" t="s">
        <v>22</v>
      </c>
      <c r="N1452" s="5">
        <v>45609</v>
      </c>
    </row>
    <row r="1453" spans="1:14" x14ac:dyDescent="0.3">
      <c r="A1453" s="1" t="str">
        <f>"29_466-11/2024/В"</f>
        <v>29_466-11/2024/В</v>
      </c>
      <c r="B1453" s="6">
        <v>45609</v>
      </c>
      <c r="C1453" s="1" t="str">
        <f>"33"</f>
        <v>33</v>
      </c>
      <c r="D1453" s="2" t="str">
        <f>"33 Довідки різного характеру"</f>
        <v>33 Довідки різного характеру</v>
      </c>
      <c r="E1453" s="1" t="s">
        <v>20</v>
      </c>
      <c r="F14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53" s="1" t="str">
        <f t="shared" si="194"/>
        <v>Фізична особа</v>
      </c>
      <c r="H1453" s="1" t="s">
        <v>20</v>
      </c>
      <c r="I1453" s="1" t="s">
        <v>20</v>
      </c>
      <c r="J1453" s="1" t="str">
        <f t="shared" si="192"/>
        <v>Закрито</v>
      </c>
      <c r="K1453" s="5">
        <v>45609</v>
      </c>
      <c r="L1453" s="1" t="s">
        <v>20</v>
      </c>
      <c r="M1453" s="1" t="s">
        <v>22</v>
      </c>
      <c r="N1453" s="5">
        <v>45609</v>
      </c>
    </row>
    <row r="1454" spans="1:14" x14ac:dyDescent="0.3">
      <c r="A1454" s="1" t="str">
        <f>"21_655-11/2024/В"</f>
        <v>21_655-11/2024/В</v>
      </c>
      <c r="B1454" s="6">
        <v>45609</v>
      </c>
      <c r="C1454" s="1" t="str">
        <f>"33"</f>
        <v>33</v>
      </c>
      <c r="D1454" s="2" t="str">
        <f>"33 Довідки різного характеру"</f>
        <v>33 Довідки різного характеру</v>
      </c>
      <c r="E1454" s="1" t="s">
        <v>20</v>
      </c>
      <c r="F145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54" s="1" t="str">
        <f t="shared" si="194"/>
        <v>Фізична особа</v>
      </c>
      <c r="H1454" s="1" t="s">
        <v>20</v>
      </c>
      <c r="I1454" s="1" t="s">
        <v>20</v>
      </c>
      <c r="J1454" s="1" t="str">
        <f t="shared" si="192"/>
        <v>Закрито</v>
      </c>
      <c r="K1454" s="1" t="s">
        <v>20</v>
      </c>
      <c r="L1454" s="1" t="s">
        <v>20</v>
      </c>
      <c r="M1454" s="1" t="s">
        <v>22</v>
      </c>
      <c r="N1454" s="1" t="s">
        <v>20</v>
      </c>
    </row>
    <row r="1455" spans="1:14" x14ac:dyDescent="0.3">
      <c r="A1455" s="1" t="str">
        <f>"31_486-11/2024/Д"</f>
        <v>31_486-11/2024/Д</v>
      </c>
      <c r="B1455" s="6">
        <v>45609</v>
      </c>
      <c r="C1455" s="1" t="str">
        <f>"00244"</f>
        <v>00244</v>
      </c>
      <c r="D1455" s="2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1455" s="1" t="str">
        <f>"04054323"</f>
        <v>04054323</v>
      </c>
      <c r="F1455" s="1" t="str">
        <f>"Рогатинська міська рада"</f>
        <v>Рогатинська міська рада</v>
      </c>
      <c r="G1455" s="1" t="str">
        <f t="shared" si="194"/>
        <v>Фізична особа</v>
      </c>
      <c r="H1455" s="1" t="s">
        <v>20</v>
      </c>
      <c r="I1455" s="1" t="s">
        <v>20</v>
      </c>
      <c r="J1455" s="1" t="str">
        <f t="shared" si="192"/>
        <v>Закрито</v>
      </c>
      <c r="K1455" s="5">
        <v>45609</v>
      </c>
      <c r="L1455" s="1" t="s">
        <v>20</v>
      </c>
      <c r="M1455" s="1" t="s">
        <v>22</v>
      </c>
      <c r="N1455" s="5">
        <v>45609</v>
      </c>
    </row>
    <row r="1456" spans="1:14" x14ac:dyDescent="0.3">
      <c r="A1456" s="1" t="str">
        <f>"29_467-11/2024/К"</f>
        <v>29_467-11/2024/К</v>
      </c>
      <c r="B1456" s="6">
        <v>45609</v>
      </c>
      <c r="C1456" s="1" t="str">
        <f>"33"</f>
        <v>33</v>
      </c>
      <c r="D1456" s="2" t="str">
        <f>"33 Довідки різного характеру"</f>
        <v>33 Довідки різного характеру</v>
      </c>
      <c r="E1456" s="1" t="s">
        <v>20</v>
      </c>
      <c r="F145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56" s="1" t="str">
        <f t="shared" si="194"/>
        <v>Фізична особа</v>
      </c>
      <c r="H1456" s="1" t="s">
        <v>20</v>
      </c>
      <c r="I1456" s="1" t="s">
        <v>20</v>
      </c>
      <c r="J1456" s="1" t="str">
        <f>"Зареєстрований"</f>
        <v>Зареєстрований</v>
      </c>
      <c r="K1456" s="1" t="s">
        <v>20</v>
      </c>
      <c r="L1456" s="1" t="s">
        <v>20</v>
      </c>
      <c r="M1456" s="1" t="s">
        <v>22</v>
      </c>
      <c r="N1456" s="1" t="s">
        <v>20</v>
      </c>
    </row>
    <row r="1457" spans="1:14" x14ac:dyDescent="0.3">
      <c r="A1457" s="1" t="str">
        <f>"12_866-11/2024/Г"</f>
        <v>12_866-11/2024/Г</v>
      </c>
      <c r="B1457" s="6">
        <v>45609</v>
      </c>
      <c r="C1457" s="1" t="str">
        <f>"33"</f>
        <v>33</v>
      </c>
      <c r="D1457" s="2" t="str">
        <f>"33 Довідки різного характеру"</f>
        <v>33 Довідки різного характеру</v>
      </c>
      <c r="E1457" s="1" t="s">
        <v>20</v>
      </c>
      <c r="F14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57" s="1" t="str">
        <f t="shared" si="194"/>
        <v>Фізична особа</v>
      </c>
      <c r="H1457" s="1" t="s">
        <v>20</v>
      </c>
      <c r="I1457" s="1" t="s">
        <v>20</v>
      </c>
      <c r="J1457" s="1" t="str">
        <f t="shared" ref="J1457:J1467" si="195">"Закрито"</f>
        <v>Закрито</v>
      </c>
      <c r="K1457" s="5">
        <v>45609</v>
      </c>
      <c r="L1457" s="1" t="s">
        <v>20</v>
      </c>
      <c r="M1457" s="1" t="s">
        <v>22</v>
      </c>
      <c r="N1457" s="5">
        <v>45609</v>
      </c>
    </row>
    <row r="1458" spans="1:14" x14ac:dyDescent="0.3">
      <c r="A1458" s="1" t="str">
        <f>"7_259/2-11/2024/С"</f>
        <v>7_259/2-11/2024/С</v>
      </c>
      <c r="B1458" s="6">
        <v>45609</v>
      </c>
      <c r="C1458" s="1" t="str">
        <f>"00026"</f>
        <v>00026</v>
      </c>
      <c r="D1458" s="2" t="str">
        <f>"Вклеювання до паспорта громадянина України (зразка 1994 року) фотокартки при досягненні 25- і 45-річного віку"</f>
        <v>Вклеювання до паспорта громадянина України (зразка 1994 року) фотокартки при досягненні 25- і 45-річного віку</v>
      </c>
      <c r="E1458" s="1" t="s">
        <v>20</v>
      </c>
      <c r="F1458" s="1" t="str">
        <f>"Рогатинський районний відділ ДМС України в Івано-Франківській області"</f>
        <v>Рогатинський районний відділ ДМС України в Івано-Франківській області</v>
      </c>
      <c r="G1458" s="1" t="str">
        <f t="shared" si="194"/>
        <v>Фізична особа</v>
      </c>
      <c r="H1458" s="1" t="s">
        <v>20</v>
      </c>
      <c r="I1458" s="1" t="s">
        <v>20</v>
      </c>
      <c r="J1458" s="1" t="str">
        <f t="shared" si="195"/>
        <v>Закрито</v>
      </c>
      <c r="K1458" s="5">
        <v>45616</v>
      </c>
      <c r="L1458" s="1" t="s">
        <v>20</v>
      </c>
      <c r="M1458" s="1" t="s">
        <v>22</v>
      </c>
      <c r="N1458" s="5">
        <v>45616</v>
      </c>
    </row>
    <row r="1459" spans="1:14" x14ac:dyDescent="0.3">
      <c r="A1459" s="1" t="str">
        <f>"9_1649/04054323-11/2024/Г"</f>
        <v>9_1649/04054323-11/2024/Г</v>
      </c>
      <c r="B1459" s="6">
        <v>45609</v>
      </c>
      <c r="C1459" s="1" t="str">
        <f>"01"</f>
        <v>01</v>
      </c>
      <c r="D1459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459" s="1" t="str">
        <f>"04054323"</f>
        <v>04054323</v>
      </c>
      <c r="F1459" s="1" t="str">
        <f>"Рогатинська міська рада"</f>
        <v>Рогатинська міська рада</v>
      </c>
      <c r="G1459" s="1" t="str">
        <f t="shared" si="194"/>
        <v>Фізична особа</v>
      </c>
      <c r="H1459" s="1" t="s">
        <v>20</v>
      </c>
      <c r="I1459" s="1" t="s">
        <v>20</v>
      </c>
      <c r="J1459" s="1" t="str">
        <f t="shared" si="195"/>
        <v>Закрито</v>
      </c>
      <c r="K1459" s="5">
        <v>45636</v>
      </c>
      <c r="L1459" s="1" t="s">
        <v>20</v>
      </c>
      <c r="M1459" s="1" t="s">
        <v>22</v>
      </c>
      <c r="N1459" s="5">
        <v>45636</v>
      </c>
    </row>
    <row r="1460" spans="1:14" x14ac:dyDescent="0.3">
      <c r="A1460" s="1" t="str">
        <f>"1_5810/2129-11/2024/Л"</f>
        <v>1_5810/2129-11/2024/Л</v>
      </c>
      <c r="B1460" s="6">
        <v>45609</v>
      </c>
      <c r="C1460" s="1" t="str">
        <f t="shared" ref="C1460:C1465" si="196">"00038"</f>
        <v>00038</v>
      </c>
      <c r="D1460" s="2" t="str">
        <f t="shared" ref="D1460:D1465" si="197"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60" s="1" t="s">
        <v>20</v>
      </c>
      <c r="F1460" s="1" t="str">
        <f t="shared" ref="F1460:F1465" si="198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60" s="1" t="str">
        <f t="shared" si="194"/>
        <v>Фізична особа</v>
      </c>
      <c r="H1460" s="1" t="s">
        <v>20</v>
      </c>
      <c r="I1460" s="1" t="s">
        <v>20</v>
      </c>
      <c r="J1460" s="1" t="str">
        <f t="shared" si="195"/>
        <v>Закрито</v>
      </c>
      <c r="K1460" s="6">
        <v>45609</v>
      </c>
      <c r="L1460" s="1" t="s">
        <v>20</v>
      </c>
      <c r="M1460" s="1" t="s">
        <v>22</v>
      </c>
      <c r="N1460" s="5">
        <v>45609</v>
      </c>
    </row>
    <row r="1461" spans="1:14" x14ac:dyDescent="0.3">
      <c r="A1461" s="1" t="str">
        <f>"1_5811/2129-11/2024/Л"</f>
        <v>1_5811/2129-11/2024/Л</v>
      </c>
      <c r="B1461" s="6">
        <v>45609</v>
      </c>
      <c r="C1461" s="1" t="str">
        <f t="shared" si="196"/>
        <v>00038</v>
      </c>
      <c r="D1461" s="2" t="str">
        <f t="shared" si="197"/>
        <v>Видача довідки про реєстрацію місця проживання або місця перебування особи</v>
      </c>
      <c r="E1461" s="1" t="s">
        <v>20</v>
      </c>
      <c r="F1461" s="1" t="str">
        <f t="shared" si="198"/>
        <v>Центр надання адміністративних послуг Рогатинської міської ради</v>
      </c>
      <c r="G1461" s="1" t="str">
        <f t="shared" si="194"/>
        <v>Фізична особа</v>
      </c>
      <c r="H1461" s="1" t="s">
        <v>20</v>
      </c>
      <c r="I1461" s="1" t="s">
        <v>20</v>
      </c>
      <c r="J1461" s="1" t="str">
        <f t="shared" si="195"/>
        <v>Закрито</v>
      </c>
      <c r="K1461" s="6">
        <v>45609</v>
      </c>
      <c r="L1461" s="1" t="s">
        <v>20</v>
      </c>
      <c r="M1461" s="1" t="s">
        <v>22</v>
      </c>
      <c r="N1461" s="5">
        <v>45609</v>
      </c>
    </row>
    <row r="1462" spans="1:14" x14ac:dyDescent="0.3">
      <c r="A1462" s="1" t="str">
        <f>"1_5812/2129-11/2024/Ф"</f>
        <v>1_5812/2129-11/2024/Ф</v>
      </c>
      <c r="B1462" s="6">
        <v>45609</v>
      </c>
      <c r="C1462" s="1" t="str">
        <f t="shared" si="196"/>
        <v>00038</v>
      </c>
      <c r="D1462" s="2" t="str">
        <f t="shared" si="197"/>
        <v>Видача довідки про реєстрацію місця проживання або місця перебування особи</v>
      </c>
      <c r="E1462" s="1" t="s">
        <v>20</v>
      </c>
      <c r="F1462" s="1" t="str">
        <f t="shared" si="198"/>
        <v>Центр надання адміністративних послуг Рогатинської міської ради</v>
      </c>
      <c r="G1462" s="1" t="str">
        <f>"Фізична особа - підприємець"</f>
        <v>Фізична особа - підприємець</v>
      </c>
      <c r="H1462" s="1" t="str">
        <f>"ФОП ГУНЧАК ІРИНА ВОЛОДИМИРІВНА"</f>
        <v>ФОП ГУНЧАК ІРИНА ВОЛОДИМИРІВНА</v>
      </c>
      <c r="I1462" s="1" t="s">
        <v>20</v>
      </c>
      <c r="J1462" s="1" t="str">
        <f t="shared" si="195"/>
        <v>Закрито</v>
      </c>
      <c r="K1462" s="6">
        <v>45609</v>
      </c>
      <c r="L1462" s="1" t="s">
        <v>20</v>
      </c>
      <c r="M1462" s="1" t="s">
        <v>22</v>
      </c>
      <c r="N1462" s="5">
        <v>45609</v>
      </c>
    </row>
    <row r="1463" spans="1:14" x14ac:dyDescent="0.3">
      <c r="A1463" s="1" t="str">
        <f>"1_5813/2129-11/2024/В"</f>
        <v>1_5813/2129-11/2024/В</v>
      </c>
      <c r="B1463" s="6">
        <v>45609</v>
      </c>
      <c r="C1463" s="1" t="str">
        <f t="shared" si="196"/>
        <v>00038</v>
      </c>
      <c r="D1463" s="2" t="str">
        <f t="shared" si="197"/>
        <v>Видача довідки про реєстрацію місця проживання або місця перебування особи</v>
      </c>
      <c r="E1463" s="1" t="s">
        <v>20</v>
      </c>
      <c r="F1463" s="1" t="str">
        <f t="shared" si="198"/>
        <v>Центр надання адміністративних послуг Рогатинської міської ради</v>
      </c>
      <c r="G1463" s="1" t="str">
        <f t="shared" ref="G1463:G1494" si="199">"Фізична особа"</f>
        <v>Фізична особа</v>
      </c>
      <c r="H1463" s="1" t="s">
        <v>20</v>
      </c>
      <c r="I1463" s="1" t="s">
        <v>20</v>
      </c>
      <c r="J1463" s="1" t="str">
        <f t="shared" si="195"/>
        <v>Закрито</v>
      </c>
      <c r="K1463" s="6">
        <v>45609</v>
      </c>
      <c r="L1463" s="1" t="s">
        <v>20</v>
      </c>
      <c r="M1463" s="1" t="s">
        <v>22</v>
      </c>
      <c r="N1463" s="5">
        <v>45609</v>
      </c>
    </row>
    <row r="1464" spans="1:14" x14ac:dyDescent="0.3">
      <c r="A1464" s="1" t="str">
        <f>"1_5814/2129-11/2024/Ц"</f>
        <v>1_5814/2129-11/2024/Ц</v>
      </c>
      <c r="B1464" s="6">
        <v>45609</v>
      </c>
      <c r="C1464" s="1" t="str">
        <f t="shared" si="196"/>
        <v>00038</v>
      </c>
      <c r="D1464" s="2" t="str">
        <f t="shared" si="197"/>
        <v>Видача довідки про реєстрацію місця проживання або місця перебування особи</v>
      </c>
      <c r="E1464" s="1" t="s">
        <v>20</v>
      </c>
      <c r="F1464" s="1" t="str">
        <f t="shared" si="198"/>
        <v>Центр надання адміністративних послуг Рогатинської міської ради</v>
      </c>
      <c r="G1464" s="1" t="str">
        <f t="shared" si="199"/>
        <v>Фізична особа</v>
      </c>
      <c r="H1464" s="1" t="s">
        <v>20</v>
      </c>
      <c r="I1464" s="1" t="s">
        <v>20</v>
      </c>
      <c r="J1464" s="1" t="str">
        <f t="shared" si="195"/>
        <v>Закрито</v>
      </c>
      <c r="K1464" s="6">
        <v>45609</v>
      </c>
      <c r="L1464" s="1" t="s">
        <v>20</v>
      </c>
      <c r="M1464" s="1" t="s">
        <v>22</v>
      </c>
      <c r="N1464" s="5">
        <v>45609</v>
      </c>
    </row>
    <row r="1465" spans="1:14" x14ac:dyDescent="0.3">
      <c r="A1465" s="1" t="str">
        <f>"1_5815/2129-11/2024/З"</f>
        <v>1_5815/2129-11/2024/З</v>
      </c>
      <c r="B1465" s="6">
        <v>45609</v>
      </c>
      <c r="C1465" s="1" t="str">
        <f t="shared" si="196"/>
        <v>00038</v>
      </c>
      <c r="D1465" s="2" t="str">
        <f t="shared" si="197"/>
        <v>Видача довідки про реєстрацію місця проживання або місця перебування особи</v>
      </c>
      <c r="E1465" s="1" t="s">
        <v>20</v>
      </c>
      <c r="F1465" s="1" t="str">
        <f t="shared" si="198"/>
        <v>Центр надання адміністративних послуг Рогатинської міської ради</v>
      </c>
      <c r="G1465" s="1" t="str">
        <f t="shared" si="199"/>
        <v>Фізична особа</v>
      </c>
      <c r="H1465" s="1" t="s">
        <v>20</v>
      </c>
      <c r="I1465" s="1" t="s">
        <v>20</v>
      </c>
      <c r="J1465" s="1" t="str">
        <f t="shared" si="195"/>
        <v>Закрито</v>
      </c>
      <c r="K1465" s="6">
        <v>45609</v>
      </c>
      <c r="L1465" s="1" t="s">
        <v>20</v>
      </c>
      <c r="M1465" s="1" t="s">
        <v>22</v>
      </c>
      <c r="N1465" s="5">
        <v>45609</v>
      </c>
    </row>
    <row r="1466" spans="1:14" x14ac:dyDescent="0.3">
      <c r="A1466" s="1" t="str">
        <f>"2_1951/04054323-11/2024/В"</f>
        <v>2_1951/04054323-11/2024/В</v>
      </c>
      <c r="B1466" s="6">
        <v>45609</v>
      </c>
      <c r="C1466" s="1" t="str">
        <f>"01240"</f>
        <v>01240</v>
      </c>
      <c r="D1466" s="2" t="str">
        <f>"Прийняття рішення про зміну адреси об’єкта нерухомого майна"</f>
        <v>Прийняття рішення про зміну адреси об’єкта нерухомого майна</v>
      </c>
      <c r="E1466" s="1" t="str">
        <f>"04054323"</f>
        <v>04054323</v>
      </c>
      <c r="F1466" s="1" t="str">
        <f>"Рогатинська міська рада"</f>
        <v>Рогатинська міська рада</v>
      </c>
      <c r="G1466" s="1" t="str">
        <f t="shared" si="199"/>
        <v>Фізична особа</v>
      </c>
      <c r="H1466" s="1" t="s">
        <v>20</v>
      </c>
      <c r="I1466" s="1" t="s">
        <v>20</v>
      </c>
      <c r="J1466" s="1" t="str">
        <f t="shared" si="195"/>
        <v>Закрито</v>
      </c>
      <c r="K1466" s="5">
        <v>45628</v>
      </c>
      <c r="L1466" s="1" t="s">
        <v>20</v>
      </c>
      <c r="M1466" s="1" t="s">
        <v>22</v>
      </c>
      <c r="N1466" s="5">
        <v>45628</v>
      </c>
    </row>
    <row r="1467" spans="1:14" x14ac:dyDescent="0.3">
      <c r="A1467" s="1" t="str">
        <f>"14_976-11/2024/В"</f>
        <v>14_976-11/2024/В</v>
      </c>
      <c r="B1467" s="6">
        <v>45609</v>
      </c>
      <c r="C1467" s="1" t="str">
        <f>"00038"</f>
        <v>00038</v>
      </c>
      <c r="D146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67" s="1" t="s">
        <v>20</v>
      </c>
      <c r="F146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67" s="1" t="str">
        <f t="shared" si="199"/>
        <v>Фізична особа</v>
      </c>
      <c r="H1467" s="1" t="s">
        <v>20</v>
      </c>
      <c r="I1467" s="1" t="s">
        <v>20</v>
      </c>
      <c r="J1467" s="1" t="str">
        <f t="shared" si="195"/>
        <v>Закрито</v>
      </c>
      <c r="K1467" s="5">
        <v>45609</v>
      </c>
      <c r="L1467" s="1" t="s">
        <v>20</v>
      </c>
      <c r="M1467" s="1" t="s">
        <v>22</v>
      </c>
      <c r="N1467" s="5">
        <v>45609</v>
      </c>
    </row>
    <row r="1468" spans="1:14" x14ac:dyDescent="0.3">
      <c r="A1468" s="1" t="str">
        <f>"14_977-11/2024/В"</f>
        <v>14_977-11/2024/В</v>
      </c>
      <c r="B1468" s="6">
        <v>45609</v>
      </c>
      <c r="C1468" s="1" t="str">
        <f>"00155"</f>
        <v>00155</v>
      </c>
      <c r="D1468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468" s="1" t="str">
        <f>"03193413"</f>
        <v>03193413</v>
      </c>
      <c r="F146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68" s="1" t="str">
        <f t="shared" si="199"/>
        <v>Фізична особа</v>
      </c>
      <c r="H1468" s="1" t="s">
        <v>20</v>
      </c>
      <c r="I1468" s="1" t="s">
        <v>20</v>
      </c>
      <c r="J1468" s="1" t="str">
        <f>"На обробці в СНАП"</f>
        <v>На обробці в СНАП</v>
      </c>
      <c r="K1468" s="1" t="s">
        <v>20</v>
      </c>
      <c r="L1468" s="1" t="s">
        <v>20</v>
      </c>
      <c r="M1468" s="1" t="s">
        <v>22</v>
      </c>
      <c r="N1468" s="1" t="s">
        <v>20</v>
      </c>
    </row>
    <row r="1469" spans="1:14" x14ac:dyDescent="0.3">
      <c r="A1469" s="1" t="str">
        <f>"19_514-11/2024/С"</f>
        <v>19_514-11/2024/С</v>
      </c>
      <c r="B1469" s="6">
        <v>45609</v>
      </c>
      <c r="C1469" s="1" t="str">
        <f>"33"</f>
        <v>33</v>
      </c>
      <c r="D1469" s="2" t="str">
        <f>"33 Довідки різного характеру"</f>
        <v>33 Довідки різного характеру</v>
      </c>
      <c r="E1469" s="1" t="s">
        <v>20</v>
      </c>
      <c r="F146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69" s="1" t="str">
        <f t="shared" si="199"/>
        <v>Фізична особа</v>
      </c>
      <c r="H1469" s="1" t="s">
        <v>20</v>
      </c>
      <c r="I1469" s="1" t="s">
        <v>20</v>
      </c>
      <c r="J1469" s="1" t="str">
        <f t="shared" ref="J1469:J1482" si="200">"Закрито"</f>
        <v>Закрито</v>
      </c>
      <c r="K1469" s="5">
        <v>45609</v>
      </c>
      <c r="L1469" s="1" t="s">
        <v>20</v>
      </c>
      <c r="M1469" s="1" t="s">
        <v>22</v>
      </c>
      <c r="N1469" s="5">
        <v>45609</v>
      </c>
    </row>
    <row r="1470" spans="1:14" x14ac:dyDescent="0.3">
      <c r="A1470" s="1" t="str">
        <f>"4_1264/03193413-11/2024/Ч"</f>
        <v>4_1264/03193413-11/2024/Ч</v>
      </c>
      <c r="B1470" s="6">
        <v>45609</v>
      </c>
      <c r="C1470" s="1" t="str">
        <f>"00155"</f>
        <v>00155</v>
      </c>
      <c r="D1470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470" s="1" t="str">
        <f>"03193413"</f>
        <v>03193413</v>
      </c>
      <c r="F147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70" s="1" t="str">
        <f t="shared" si="199"/>
        <v>Фізична особа</v>
      </c>
      <c r="H1470" s="1" t="s">
        <v>20</v>
      </c>
      <c r="I1470" s="1" t="s">
        <v>20</v>
      </c>
      <c r="J1470" s="1" t="str">
        <f t="shared" si="200"/>
        <v>Закрито</v>
      </c>
      <c r="K1470" s="5">
        <v>45629</v>
      </c>
      <c r="L1470" s="1" t="s">
        <v>20</v>
      </c>
      <c r="M1470" s="1" t="s">
        <v>22</v>
      </c>
      <c r="N1470" s="5">
        <v>45629</v>
      </c>
    </row>
    <row r="1471" spans="1:14" x14ac:dyDescent="0.3">
      <c r="A1471" s="1" t="str">
        <f>"22_541-11/2024/Б"</f>
        <v>22_541-11/2024/Б</v>
      </c>
      <c r="B1471" s="6">
        <v>45609</v>
      </c>
      <c r="C1471" s="1" t="str">
        <f>"01296"</f>
        <v>01296</v>
      </c>
      <c r="D1471" s="2" t="str">
        <f>"Видача довідки про проживання без реєстрації"</f>
        <v>Видача довідки про проживання без реєстрації</v>
      </c>
      <c r="E1471" s="1" t="s">
        <v>20</v>
      </c>
      <c r="F147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71" s="1" t="str">
        <f t="shared" si="199"/>
        <v>Фізична особа</v>
      </c>
      <c r="H1471" s="1" t="s">
        <v>20</v>
      </c>
      <c r="I1471" s="1" t="s">
        <v>20</v>
      </c>
      <c r="J1471" s="1" t="str">
        <f t="shared" si="200"/>
        <v>Закрито</v>
      </c>
      <c r="K1471" s="5">
        <v>45609</v>
      </c>
      <c r="L1471" s="1" t="s">
        <v>20</v>
      </c>
      <c r="M1471" s="1" t="s">
        <v>22</v>
      </c>
      <c r="N1471" s="5">
        <v>45609</v>
      </c>
    </row>
    <row r="1472" spans="1:14" x14ac:dyDescent="0.3">
      <c r="A1472" s="1" t="str">
        <f>"19_515-11/2024/С"</f>
        <v>19_515-11/2024/С</v>
      </c>
      <c r="B1472" s="6">
        <v>45609</v>
      </c>
      <c r="C1472" s="1" t="str">
        <f>"01974"</f>
        <v>01974</v>
      </c>
      <c r="D1472" s="2" t="str">
        <f>"Призначення пільги на оплату житла, комунальних послуг"</f>
        <v>Призначення пільги на оплату житла, комунальних послуг</v>
      </c>
      <c r="E1472" s="1" t="str">
        <f>"03193413"</f>
        <v>03193413</v>
      </c>
      <c r="F147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72" s="1" t="str">
        <f t="shared" si="199"/>
        <v>Фізична особа</v>
      </c>
      <c r="H1472" s="1" t="s">
        <v>20</v>
      </c>
      <c r="I1472" s="1" t="s">
        <v>20</v>
      </c>
      <c r="J1472" s="1" t="str">
        <f t="shared" si="200"/>
        <v>Закрито</v>
      </c>
      <c r="K1472" s="5">
        <v>45646</v>
      </c>
      <c r="L1472" s="1" t="s">
        <v>20</v>
      </c>
      <c r="M1472" s="1" t="s">
        <v>22</v>
      </c>
      <c r="N1472" s="5">
        <v>45646</v>
      </c>
    </row>
    <row r="1473" spans="1:14" x14ac:dyDescent="0.3">
      <c r="A1473" s="1" t="str">
        <f>"4_1265/03193413-11/2024/М"</f>
        <v>4_1265/03193413-11/2024/М</v>
      </c>
      <c r="B1473" s="6">
        <v>45609</v>
      </c>
      <c r="C1473" s="1" t="str">
        <f>"00133"</f>
        <v>00133</v>
      </c>
      <c r="D1473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473" s="1" t="str">
        <f>"03193413"</f>
        <v>03193413</v>
      </c>
      <c r="F147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73" s="1" t="str">
        <f t="shared" si="199"/>
        <v>Фізична особа</v>
      </c>
      <c r="H1473" s="1" t="s">
        <v>20</v>
      </c>
      <c r="I1473" s="1" t="s">
        <v>20</v>
      </c>
      <c r="J1473" s="1" t="str">
        <f t="shared" si="200"/>
        <v>Закрито</v>
      </c>
      <c r="K1473" s="5">
        <v>45629</v>
      </c>
      <c r="L1473" s="1" t="s">
        <v>20</v>
      </c>
      <c r="M1473" s="1" t="s">
        <v>22</v>
      </c>
      <c r="N1473" s="5">
        <v>45629</v>
      </c>
    </row>
    <row r="1474" spans="1:14" x14ac:dyDescent="0.3">
      <c r="A1474" s="1" t="str">
        <f>"14_978-11/2024/В"</f>
        <v>14_978-11/2024/В</v>
      </c>
      <c r="B1474" s="6">
        <v>45609</v>
      </c>
      <c r="C1474" s="1" t="str">
        <f>"00038"</f>
        <v>00038</v>
      </c>
      <c r="D147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74" s="1" t="s">
        <v>20</v>
      </c>
      <c r="F147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74" s="1" t="str">
        <f t="shared" si="199"/>
        <v>Фізична особа</v>
      </c>
      <c r="H1474" s="1" t="s">
        <v>20</v>
      </c>
      <c r="I1474" s="1" t="s">
        <v>20</v>
      </c>
      <c r="J1474" s="1" t="str">
        <f t="shared" si="200"/>
        <v>Закрито</v>
      </c>
      <c r="K1474" s="5">
        <v>45609</v>
      </c>
      <c r="L1474" s="1" t="s">
        <v>20</v>
      </c>
      <c r="M1474" s="1" t="s">
        <v>22</v>
      </c>
      <c r="N1474" s="5">
        <v>45609</v>
      </c>
    </row>
    <row r="1475" spans="1:14" x14ac:dyDescent="0.3">
      <c r="A1475" s="1" t="str">
        <f>"19_516-11/2024/Д"</f>
        <v>19_516-11/2024/Д</v>
      </c>
      <c r="B1475" s="6">
        <v>45609</v>
      </c>
      <c r="C1475" s="1" t="str">
        <f>"33"</f>
        <v>33</v>
      </c>
      <c r="D1475" s="2" t="str">
        <f>"33 Довідки різного характеру"</f>
        <v>33 Довідки різного характеру</v>
      </c>
      <c r="E1475" s="1" t="s">
        <v>20</v>
      </c>
      <c r="F14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75" s="1" t="str">
        <f t="shared" si="199"/>
        <v>Фізична особа</v>
      </c>
      <c r="H1475" s="1" t="s">
        <v>20</v>
      </c>
      <c r="I1475" s="1" t="s">
        <v>20</v>
      </c>
      <c r="J1475" s="1" t="str">
        <f t="shared" si="200"/>
        <v>Закрито</v>
      </c>
      <c r="K1475" s="5">
        <v>45609</v>
      </c>
      <c r="L1475" s="1" t="s">
        <v>20</v>
      </c>
      <c r="M1475" s="1" t="s">
        <v>22</v>
      </c>
      <c r="N1475" s="5">
        <v>45609</v>
      </c>
    </row>
    <row r="1476" spans="1:14" x14ac:dyDescent="0.3">
      <c r="A1476" s="1" t="str">
        <f>"19_517-11/2024/Д"</f>
        <v>19_517-11/2024/Д</v>
      </c>
      <c r="B1476" s="6">
        <v>45609</v>
      </c>
      <c r="C1476" s="1" t="str">
        <f>"00133"</f>
        <v>00133</v>
      </c>
      <c r="D1476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476" s="1" t="str">
        <f>"03193413"</f>
        <v>03193413</v>
      </c>
      <c r="F147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76" s="1" t="str">
        <f t="shared" si="199"/>
        <v>Фізична особа</v>
      </c>
      <c r="H1476" s="1" t="s">
        <v>20</v>
      </c>
      <c r="I1476" s="1" t="s">
        <v>20</v>
      </c>
      <c r="J1476" s="1" t="str">
        <f t="shared" si="200"/>
        <v>Закрито</v>
      </c>
      <c r="K1476" s="5">
        <v>45646</v>
      </c>
      <c r="L1476" s="1" t="s">
        <v>20</v>
      </c>
      <c r="M1476" s="1" t="s">
        <v>22</v>
      </c>
      <c r="N1476" s="5">
        <v>45646</v>
      </c>
    </row>
    <row r="1477" spans="1:14" x14ac:dyDescent="0.3">
      <c r="A1477" s="1" t="str">
        <f>"14_979-11/2024/б"</f>
        <v>14_979-11/2024/б</v>
      </c>
      <c r="B1477" s="6">
        <v>45609</v>
      </c>
      <c r="C1477" s="1" t="str">
        <f>"33"</f>
        <v>33</v>
      </c>
      <c r="D1477" s="2" t="str">
        <f>"33 Довідки різного характеру"</f>
        <v>33 Довідки різного характеру</v>
      </c>
      <c r="E1477" s="1" t="s">
        <v>20</v>
      </c>
      <c r="F147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77" s="1" t="str">
        <f t="shared" si="199"/>
        <v>Фізична особа</v>
      </c>
      <c r="H1477" s="1" t="s">
        <v>20</v>
      </c>
      <c r="I1477" s="1" t="s">
        <v>20</v>
      </c>
      <c r="J1477" s="1" t="str">
        <f t="shared" si="200"/>
        <v>Закрито</v>
      </c>
      <c r="K1477" s="5">
        <v>45609</v>
      </c>
      <c r="L1477" s="1" t="s">
        <v>20</v>
      </c>
      <c r="M1477" s="1" t="s">
        <v>22</v>
      </c>
      <c r="N1477" s="5">
        <v>45609</v>
      </c>
    </row>
    <row r="1478" spans="1:14" x14ac:dyDescent="0.3">
      <c r="A1478" s="1" t="str">
        <f>"4_1266/03193413-11/2024/Б"</f>
        <v>4_1266/03193413-11/2024/Б</v>
      </c>
      <c r="B1478" s="6">
        <v>45609</v>
      </c>
      <c r="C1478" s="1" t="str">
        <f>"00155"</f>
        <v>00155</v>
      </c>
      <c r="D1478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478" s="1" t="str">
        <f>"03193413"</f>
        <v>03193413</v>
      </c>
      <c r="F147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78" s="1" t="str">
        <f t="shared" si="199"/>
        <v>Фізична особа</v>
      </c>
      <c r="H1478" s="1" t="s">
        <v>20</v>
      </c>
      <c r="I1478" s="1" t="s">
        <v>20</v>
      </c>
      <c r="J1478" s="1" t="str">
        <f t="shared" si="200"/>
        <v>Закрито</v>
      </c>
      <c r="K1478" s="5">
        <v>45629</v>
      </c>
      <c r="L1478" s="1" t="s">
        <v>20</v>
      </c>
      <c r="M1478" s="1" t="s">
        <v>22</v>
      </c>
      <c r="N1478" s="5">
        <v>45629</v>
      </c>
    </row>
    <row r="1479" spans="1:14" x14ac:dyDescent="0.3">
      <c r="A1479" s="1" t="str">
        <f>"19_518-11/2024/К"</f>
        <v>19_518-11/2024/К</v>
      </c>
      <c r="B1479" s="6">
        <v>45609</v>
      </c>
      <c r="C1479" s="1" t="str">
        <f>"33"</f>
        <v>33</v>
      </c>
      <c r="D1479" s="2" t="str">
        <f>"33 Довідки різного характеру"</f>
        <v>33 Довідки різного характеру</v>
      </c>
      <c r="E1479" s="1" t="s">
        <v>20</v>
      </c>
      <c r="F147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79" s="1" t="str">
        <f t="shared" si="199"/>
        <v>Фізична особа</v>
      </c>
      <c r="H1479" s="1" t="s">
        <v>20</v>
      </c>
      <c r="I1479" s="1" t="s">
        <v>20</v>
      </c>
      <c r="J1479" s="1" t="str">
        <f t="shared" si="200"/>
        <v>Закрито</v>
      </c>
      <c r="K1479" s="5">
        <v>45609</v>
      </c>
      <c r="L1479" s="1" t="s">
        <v>20</v>
      </c>
      <c r="M1479" s="1" t="s">
        <v>22</v>
      </c>
      <c r="N1479" s="5">
        <v>45609</v>
      </c>
    </row>
    <row r="1480" spans="1:14" x14ac:dyDescent="0.3">
      <c r="A1480" s="1" t="str">
        <f>"19_519-11/2024/С"</f>
        <v>19_519-11/2024/С</v>
      </c>
      <c r="B1480" s="6">
        <v>45609</v>
      </c>
      <c r="C1480" s="1" t="str">
        <f>"33"</f>
        <v>33</v>
      </c>
      <c r="D1480" s="2" t="str">
        <f>"33 Довідки різного характеру"</f>
        <v>33 Довідки різного характеру</v>
      </c>
      <c r="E1480" s="1" t="s">
        <v>20</v>
      </c>
      <c r="F148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80" s="1" t="str">
        <f t="shared" si="199"/>
        <v>Фізична особа</v>
      </c>
      <c r="H1480" s="1" t="s">
        <v>20</v>
      </c>
      <c r="I1480" s="1" t="s">
        <v>20</v>
      </c>
      <c r="J1480" s="1" t="str">
        <f t="shared" si="200"/>
        <v>Закрито</v>
      </c>
      <c r="K1480" s="5">
        <v>45609</v>
      </c>
      <c r="L1480" s="1" t="s">
        <v>20</v>
      </c>
      <c r="M1480" s="1" t="s">
        <v>22</v>
      </c>
      <c r="N1480" s="5">
        <v>45609</v>
      </c>
    </row>
    <row r="1481" spans="1:14" x14ac:dyDescent="0.3">
      <c r="A1481" s="1" t="str">
        <f>"4_1267/03193413-11/2024/М"</f>
        <v>4_1267/03193413-11/2024/М</v>
      </c>
      <c r="B1481" s="6">
        <v>45609</v>
      </c>
      <c r="C1481" s="1" t="str">
        <f>"00155"</f>
        <v>00155</v>
      </c>
      <c r="D1481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481" s="1" t="str">
        <f>"03193413"</f>
        <v>03193413</v>
      </c>
      <c r="F148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81" s="1" t="str">
        <f t="shared" si="199"/>
        <v>Фізична особа</v>
      </c>
      <c r="H1481" s="1" t="s">
        <v>20</v>
      </c>
      <c r="I1481" s="1" t="s">
        <v>20</v>
      </c>
      <c r="J1481" s="1" t="str">
        <f t="shared" si="200"/>
        <v>Закрито</v>
      </c>
      <c r="K1481" s="5">
        <v>45629</v>
      </c>
      <c r="L1481" s="1" t="s">
        <v>20</v>
      </c>
      <c r="M1481" s="1" t="s">
        <v>22</v>
      </c>
      <c r="N1481" s="5">
        <v>45629</v>
      </c>
    </row>
    <row r="1482" spans="1:14" x14ac:dyDescent="0.3">
      <c r="A1482" s="1" t="str">
        <f>"9_1650/04054323-11/2024/Д"</f>
        <v>9_1650/04054323-11/2024/Д</v>
      </c>
      <c r="B1482" s="6">
        <v>45609</v>
      </c>
      <c r="C1482" s="1" t="str">
        <f>"01-1"</f>
        <v>01-1</v>
      </c>
      <c r="D1482" s="2" t="s">
        <v>0</v>
      </c>
      <c r="E1482" s="1" t="str">
        <f>"04054323"</f>
        <v>04054323</v>
      </c>
      <c r="F1482" s="1" t="str">
        <f>"Рогатинська міська рада"</f>
        <v>Рогатинська міська рада</v>
      </c>
      <c r="G1482" s="1" t="str">
        <f t="shared" si="199"/>
        <v>Фізична особа</v>
      </c>
      <c r="H1482" s="1" t="s">
        <v>20</v>
      </c>
      <c r="I1482" s="1" t="s">
        <v>20</v>
      </c>
      <c r="J1482" s="1" t="str">
        <f t="shared" si="200"/>
        <v>Закрито</v>
      </c>
      <c r="K1482" s="5">
        <v>45636</v>
      </c>
      <c r="L1482" s="1" t="s">
        <v>20</v>
      </c>
      <c r="M1482" s="1" t="s">
        <v>22</v>
      </c>
      <c r="N1482" s="5">
        <v>45636</v>
      </c>
    </row>
    <row r="1483" spans="1:14" x14ac:dyDescent="0.3">
      <c r="A1483" s="1" t="str">
        <f>"29_468-11/2024/К"</f>
        <v>29_468-11/2024/К</v>
      </c>
      <c r="B1483" s="6">
        <v>45609</v>
      </c>
      <c r="C1483" s="1" t="str">
        <f>"00155"</f>
        <v>00155</v>
      </c>
      <c r="D1483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483" s="1" t="str">
        <f>"03193413"</f>
        <v>03193413</v>
      </c>
      <c r="F148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83" s="1" t="str">
        <f t="shared" si="199"/>
        <v>Фізична особа</v>
      </c>
      <c r="H1483" s="1" t="s">
        <v>20</v>
      </c>
      <c r="I1483" s="1" t="s">
        <v>20</v>
      </c>
      <c r="J1483" s="1" t="str">
        <f>"Результат підготовлено СНАП"</f>
        <v>Результат підготовлено СНАП</v>
      </c>
      <c r="K1483" s="5">
        <v>45625</v>
      </c>
      <c r="L1483" s="1" t="s">
        <v>20</v>
      </c>
      <c r="M1483" s="1" t="s">
        <v>22</v>
      </c>
      <c r="N1483" s="1" t="s">
        <v>20</v>
      </c>
    </row>
    <row r="1484" spans="1:14" x14ac:dyDescent="0.3">
      <c r="A1484" s="1" t="str">
        <f>"19_520-11/2024/Б"</f>
        <v>19_520-11/2024/Б</v>
      </c>
      <c r="B1484" s="6">
        <v>45609</v>
      </c>
      <c r="C1484" s="1" t="str">
        <f>"00038"</f>
        <v>00038</v>
      </c>
      <c r="D148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84" s="1" t="s">
        <v>20</v>
      </c>
      <c r="F148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84" s="1" t="str">
        <f t="shared" si="199"/>
        <v>Фізична особа</v>
      </c>
      <c r="H1484" s="1" t="s">
        <v>20</v>
      </c>
      <c r="I1484" s="1" t="s">
        <v>20</v>
      </c>
      <c r="J1484" s="1" t="str">
        <f>"Закрито"</f>
        <v>Закрито</v>
      </c>
      <c r="K1484" s="5">
        <v>45609</v>
      </c>
      <c r="L1484" s="1" t="s">
        <v>20</v>
      </c>
      <c r="M1484" s="1" t="s">
        <v>22</v>
      </c>
      <c r="N1484" s="5">
        <v>45609</v>
      </c>
    </row>
    <row r="1485" spans="1:14" x14ac:dyDescent="0.3">
      <c r="A1485" s="1" t="str">
        <f>"4_1268/03193413-11/2024/О"</f>
        <v>4_1268/03193413-11/2024/О</v>
      </c>
      <c r="B1485" s="6">
        <v>45609</v>
      </c>
      <c r="C1485" s="1" t="str">
        <f>"00155"</f>
        <v>00155</v>
      </c>
      <c r="D1485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485" s="1" t="str">
        <f>"03193413"</f>
        <v>03193413</v>
      </c>
      <c r="F148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85" s="1" t="str">
        <f t="shared" si="199"/>
        <v>Фізична особа</v>
      </c>
      <c r="H1485" s="1" t="s">
        <v>20</v>
      </c>
      <c r="I1485" s="1" t="s">
        <v>20</v>
      </c>
      <c r="J1485" s="1" t="str">
        <f>"Закрито"</f>
        <v>Закрито</v>
      </c>
      <c r="K1485" s="5">
        <v>45629</v>
      </c>
      <c r="L1485" s="1" t="s">
        <v>20</v>
      </c>
      <c r="M1485" s="1" t="s">
        <v>22</v>
      </c>
      <c r="N1485" s="5">
        <v>45629</v>
      </c>
    </row>
    <row r="1486" spans="1:14" x14ac:dyDescent="0.3">
      <c r="A1486" s="1" t="str">
        <f>"29_469-11/2024/р"</f>
        <v>29_469-11/2024/р</v>
      </c>
      <c r="B1486" s="6">
        <v>45609</v>
      </c>
      <c r="C1486" s="1" t="str">
        <f>"00133"</f>
        <v>00133</v>
      </c>
      <c r="D1486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486" s="1" t="str">
        <f>"03193413"</f>
        <v>03193413</v>
      </c>
      <c r="F148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86" s="1" t="str">
        <f t="shared" si="199"/>
        <v>Фізична особа</v>
      </c>
      <c r="H1486" s="1" t="s">
        <v>20</v>
      </c>
      <c r="I1486" s="1" t="s">
        <v>20</v>
      </c>
      <c r="J1486" s="1" t="str">
        <f>"Результат підготовлено СНАП"</f>
        <v>Результат підготовлено СНАП</v>
      </c>
      <c r="K1486" s="5">
        <v>45625</v>
      </c>
      <c r="L1486" s="1" t="s">
        <v>20</v>
      </c>
      <c r="M1486" s="1" t="s">
        <v>22</v>
      </c>
      <c r="N1486" s="1" t="s">
        <v>20</v>
      </c>
    </row>
    <row r="1487" spans="1:14" x14ac:dyDescent="0.3">
      <c r="A1487" s="1" t="str">
        <f>"4_1269/03193413-11/2024/Б"</f>
        <v>4_1269/03193413-11/2024/Б</v>
      </c>
      <c r="B1487" s="6">
        <v>45609</v>
      </c>
      <c r="C1487" s="1" t="str">
        <f>"00155"</f>
        <v>00155</v>
      </c>
      <c r="D1487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487" s="1" t="str">
        <f>"03193413"</f>
        <v>03193413</v>
      </c>
      <c r="F148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87" s="1" t="str">
        <f t="shared" si="199"/>
        <v>Фізична особа</v>
      </c>
      <c r="H1487" s="1" t="s">
        <v>20</v>
      </c>
      <c r="I1487" s="1" t="s">
        <v>20</v>
      </c>
      <c r="J1487" s="1" t="str">
        <f t="shared" ref="J1487:J1511" si="201">"Закрито"</f>
        <v>Закрито</v>
      </c>
      <c r="K1487" s="5">
        <v>45629</v>
      </c>
      <c r="L1487" s="1" t="s">
        <v>20</v>
      </c>
      <c r="M1487" s="1" t="s">
        <v>22</v>
      </c>
      <c r="N1487" s="5">
        <v>45629</v>
      </c>
    </row>
    <row r="1488" spans="1:14" x14ac:dyDescent="0.3">
      <c r="A1488" s="1" t="str">
        <f>"19_521-11/2024/С"</f>
        <v>19_521-11/2024/С</v>
      </c>
      <c r="B1488" s="6">
        <v>45609</v>
      </c>
      <c r="C1488" s="1" t="str">
        <f>"00038"</f>
        <v>00038</v>
      </c>
      <c r="D148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88" s="1" t="s">
        <v>20</v>
      </c>
      <c r="F14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88" s="1" t="str">
        <f t="shared" si="199"/>
        <v>Фізична особа</v>
      </c>
      <c r="H1488" s="1" t="s">
        <v>20</v>
      </c>
      <c r="I1488" s="1" t="s">
        <v>20</v>
      </c>
      <c r="J1488" s="1" t="str">
        <f t="shared" si="201"/>
        <v>Закрито</v>
      </c>
      <c r="K1488" s="5">
        <v>45609</v>
      </c>
      <c r="L1488" s="1" t="s">
        <v>20</v>
      </c>
      <c r="M1488" s="1" t="s">
        <v>22</v>
      </c>
      <c r="N1488" s="5">
        <v>45609</v>
      </c>
    </row>
    <row r="1489" spans="1:14" x14ac:dyDescent="0.3">
      <c r="A1489" s="1" t="str">
        <f>"4_1270/03193413-11/2024/М"</f>
        <v>4_1270/03193413-11/2024/М</v>
      </c>
      <c r="B1489" s="6">
        <v>45609</v>
      </c>
      <c r="C1489" s="1" t="str">
        <f>"00155"</f>
        <v>00155</v>
      </c>
      <c r="D1489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489" s="1" t="str">
        <f>"03193413"</f>
        <v>03193413</v>
      </c>
      <c r="F148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489" s="1" t="str">
        <f t="shared" si="199"/>
        <v>Фізична особа</v>
      </c>
      <c r="H1489" s="1" t="s">
        <v>20</v>
      </c>
      <c r="I1489" s="1" t="s">
        <v>20</v>
      </c>
      <c r="J1489" s="1" t="str">
        <f t="shared" si="201"/>
        <v>Закрито</v>
      </c>
      <c r="K1489" s="5">
        <v>45629</v>
      </c>
      <c r="L1489" s="1" t="s">
        <v>20</v>
      </c>
      <c r="M1489" s="1" t="s">
        <v>22</v>
      </c>
      <c r="N1489" s="5">
        <v>45629</v>
      </c>
    </row>
    <row r="1490" spans="1:14" x14ac:dyDescent="0.3">
      <c r="A1490" s="1" t="str">
        <f>"1_5816/2129-11/2024/К"</f>
        <v>1_5816/2129-11/2024/К</v>
      </c>
      <c r="B1490" s="6">
        <v>45609</v>
      </c>
      <c r="C1490" s="1" t="str">
        <f>"00038"</f>
        <v>00038</v>
      </c>
      <c r="D149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90" s="1" t="s">
        <v>20</v>
      </c>
      <c r="F149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90" s="1" t="str">
        <f t="shared" si="199"/>
        <v>Фізична особа</v>
      </c>
      <c r="H1490" s="1" t="s">
        <v>20</v>
      </c>
      <c r="I1490" s="1" t="s">
        <v>20</v>
      </c>
      <c r="J1490" s="1" t="str">
        <f t="shared" si="201"/>
        <v>Закрито</v>
      </c>
      <c r="K1490" s="6">
        <v>45609</v>
      </c>
      <c r="L1490" s="1" t="s">
        <v>20</v>
      </c>
      <c r="M1490" s="1" t="s">
        <v>22</v>
      </c>
      <c r="N1490" s="5">
        <v>45609</v>
      </c>
    </row>
    <row r="1491" spans="1:14" x14ac:dyDescent="0.3">
      <c r="A1491" s="1" t="str">
        <f>"14_980-11/2024/З"</f>
        <v>14_980-11/2024/З</v>
      </c>
      <c r="B1491" s="6">
        <v>45609</v>
      </c>
      <c r="C1491" s="1" t="str">
        <f>"00038"</f>
        <v>00038</v>
      </c>
      <c r="D149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91" s="1" t="s">
        <v>20</v>
      </c>
      <c r="F149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91" s="1" t="str">
        <f t="shared" si="199"/>
        <v>Фізична особа</v>
      </c>
      <c r="H1491" s="1" t="s">
        <v>20</v>
      </c>
      <c r="I1491" s="1" t="s">
        <v>20</v>
      </c>
      <c r="J1491" s="1" t="str">
        <f t="shared" si="201"/>
        <v>Закрито</v>
      </c>
      <c r="K1491" s="5">
        <v>45609</v>
      </c>
      <c r="L1491" s="1" t="s">
        <v>20</v>
      </c>
      <c r="M1491" s="1" t="s">
        <v>22</v>
      </c>
      <c r="N1491" s="5">
        <v>45609</v>
      </c>
    </row>
    <row r="1492" spans="1:14" x14ac:dyDescent="0.3">
      <c r="A1492" s="1" t="str">
        <f>"9_1651/04054323-11/2024/Д"</f>
        <v>9_1651/04054323-11/2024/Д</v>
      </c>
      <c r="B1492" s="6">
        <v>45609</v>
      </c>
      <c r="C1492" s="1" t="str">
        <f>"01"</f>
        <v>01</v>
      </c>
      <c r="D1492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492" s="1" t="str">
        <f>"04054323"</f>
        <v>04054323</v>
      </c>
      <c r="F1492" s="1" t="str">
        <f>"Рогатинська міська рада"</f>
        <v>Рогатинська міська рада</v>
      </c>
      <c r="G1492" s="1" t="str">
        <f t="shared" si="199"/>
        <v>Фізична особа</v>
      </c>
      <c r="H1492" s="1" t="s">
        <v>20</v>
      </c>
      <c r="I1492" s="1" t="s">
        <v>20</v>
      </c>
      <c r="J1492" s="1" t="str">
        <f t="shared" si="201"/>
        <v>Закрито</v>
      </c>
      <c r="K1492" s="5">
        <v>45636</v>
      </c>
      <c r="L1492" s="1" t="s">
        <v>20</v>
      </c>
      <c r="M1492" s="1" t="s">
        <v>22</v>
      </c>
      <c r="N1492" s="5">
        <v>45636</v>
      </c>
    </row>
    <row r="1493" spans="1:14" x14ac:dyDescent="0.3">
      <c r="A1493" s="1" t="str">
        <f>"1_5817/2129-11/2024/К"</f>
        <v>1_5817/2129-11/2024/К</v>
      </c>
      <c r="B1493" s="6">
        <v>45609</v>
      </c>
      <c r="C1493" s="1" t="str">
        <f t="shared" ref="C1493:C1498" si="202">"00038"</f>
        <v>00038</v>
      </c>
      <c r="D1493" s="2" t="str">
        <f t="shared" ref="D1493:D1498" si="203"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493" s="1" t="s">
        <v>20</v>
      </c>
      <c r="F1493" s="1" t="str">
        <f t="shared" ref="F1493:F1498" si="204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493" s="1" t="str">
        <f t="shared" si="199"/>
        <v>Фізична особа</v>
      </c>
      <c r="H1493" s="1" t="s">
        <v>20</v>
      </c>
      <c r="I1493" s="1" t="s">
        <v>20</v>
      </c>
      <c r="J1493" s="1" t="str">
        <f t="shared" si="201"/>
        <v>Закрито</v>
      </c>
      <c r="K1493" s="6">
        <v>45609</v>
      </c>
      <c r="L1493" s="1" t="s">
        <v>20</v>
      </c>
      <c r="M1493" s="1" t="s">
        <v>22</v>
      </c>
      <c r="N1493" s="5">
        <v>45609</v>
      </c>
    </row>
    <row r="1494" spans="1:14" x14ac:dyDescent="0.3">
      <c r="A1494" s="1" t="str">
        <f>"1_691-11/2024/Г"</f>
        <v>1_691-11/2024/Г</v>
      </c>
      <c r="B1494" s="6">
        <v>45609</v>
      </c>
      <c r="C1494" s="1" t="str">
        <f t="shared" si="202"/>
        <v>00038</v>
      </c>
      <c r="D1494" s="2" t="str">
        <f t="shared" si="203"/>
        <v>Видача довідки про реєстрацію місця проживання або місця перебування особи</v>
      </c>
      <c r="E1494" s="1" t="s">
        <v>20</v>
      </c>
      <c r="F1494" s="1" t="str">
        <f t="shared" si="204"/>
        <v>Центр надання адміністративних послуг Рогатинської міської ради</v>
      </c>
      <c r="G1494" s="1" t="str">
        <f t="shared" si="199"/>
        <v>Фізична особа</v>
      </c>
      <c r="H1494" s="1" t="s">
        <v>20</v>
      </c>
      <c r="I1494" s="1" t="s">
        <v>20</v>
      </c>
      <c r="J1494" s="1" t="str">
        <f t="shared" si="201"/>
        <v>Закрито</v>
      </c>
      <c r="K1494" s="5">
        <v>45609</v>
      </c>
      <c r="L1494" s="1" t="s">
        <v>20</v>
      </c>
      <c r="M1494" s="1" t="s">
        <v>22</v>
      </c>
      <c r="N1494" s="5">
        <v>45609</v>
      </c>
    </row>
    <row r="1495" spans="1:14" x14ac:dyDescent="0.3">
      <c r="A1495" s="1" t="str">
        <f>"14_981-11/2024/З"</f>
        <v>14_981-11/2024/З</v>
      </c>
      <c r="B1495" s="6">
        <v>45609</v>
      </c>
      <c r="C1495" s="1" t="str">
        <f t="shared" si="202"/>
        <v>00038</v>
      </c>
      <c r="D1495" s="2" t="str">
        <f t="shared" si="203"/>
        <v>Видача довідки про реєстрацію місця проживання або місця перебування особи</v>
      </c>
      <c r="E1495" s="1" t="s">
        <v>20</v>
      </c>
      <c r="F1495" s="1" t="str">
        <f t="shared" si="204"/>
        <v>Центр надання адміністративних послуг Рогатинської міської ради</v>
      </c>
      <c r="G1495" s="1" t="str">
        <f t="shared" ref="G1495:G1516" si="205">"Фізична особа"</f>
        <v>Фізична особа</v>
      </c>
      <c r="H1495" s="1" t="s">
        <v>20</v>
      </c>
      <c r="I1495" s="1" t="s">
        <v>20</v>
      </c>
      <c r="J1495" s="1" t="str">
        <f t="shared" si="201"/>
        <v>Закрито</v>
      </c>
      <c r="K1495" s="5">
        <v>45609</v>
      </c>
      <c r="L1495" s="1" t="s">
        <v>20</v>
      </c>
      <c r="M1495" s="1" t="s">
        <v>22</v>
      </c>
      <c r="N1495" s="5">
        <v>45609</v>
      </c>
    </row>
    <row r="1496" spans="1:14" x14ac:dyDescent="0.3">
      <c r="A1496" s="1" t="str">
        <f>"1_5818/2129-11/2024/К"</f>
        <v>1_5818/2129-11/2024/К</v>
      </c>
      <c r="B1496" s="6">
        <v>45609</v>
      </c>
      <c r="C1496" s="1" t="str">
        <f t="shared" si="202"/>
        <v>00038</v>
      </c>
      <c r="D1496" s="2" t="str">
        <f t="shared" si="203"/>
        <v>Видача довідки про реєстрацію місця проживання або місця перебування особи</v>
      </c>
      <c r="E1496" s="1" t="s">
        <v>20</v>
      </c>
      <c r="F1496" s="1" t="str">
        <f t="shared" si="204"/>
        <v>Центр надання адміністративних послуг Рогатинської міської ради</v>
      </c>
      <c r="G1496" s="1" t="str">
        <f t="shared" si="205"/>
        <v>Фізична особа</v>
      </c>
      <c r="H1496" s="1" t="s">
        <v>20</v>
      </c>
      <c r="I1496" s="1" t="s">
        <v>20</v>
      </c>
      <c r="J1496" s="1" t="str">
        <f t="shared" si="201"/>
        <v>Закрито</v>
      </c>
      <c r="K1496" s="6">
        <v>45609</v>
      </c>
      <c r="L1496" s="1" t="s">
        <v>20</v>
      </c>
      <c r="M1496" s="1" t="s">
        <v>22</v>
      </c>
      <c r="N1496" s="5">
        <v>45609</v>
      </c>
    </row>
    <row r="1497" spans="1:14" x14ac:dyDescent="0.3">
      <c r="A1497" s="1" t="str">
        <f>"3_844-11/2024/Я"</f>
        <v>3_844-11/2024/Я</v>
      </c>
      <c r="B1497" s="6">
        <v>45609</v>
      </c>
      <c r="C1497" s="1" t="str">
        <f t="shared" si="202"/>
        <v>00038</v>
      </c>
      <c r="D1497" s="2" t="str">
        <f t="shared" si="203"/>
        <v>Видача довідки про реєстрацію місця проживання або місця перебування особи</v>
      </c>
      <c r="E1497" s="1" t="s">
        <v>20</v>
      </c>
      <c r="F1497" s="1" t="str">
        <f t="shared" si="204"/>
        <v>Центр надання адміністративних послуг Рогатинської міської ради</v>
      </c>
      <c r="G1497" s="1" t="str">
        <f t="shared" si="205"/>
        <v>Фізична особа</v>
      </c>
      <c r="H1497" s="1" t="s">
        <v>20</v>
      </c>
      <c r="I1497" s="1" t="s">
        <v>20</v>
      </c>
      <c r="J1497" s="1" t="str">
        <f t="shared" si="201"/>
        <v>Закрито</v>
      </c>
      <c r="K1497" s="5">
        <v>45609</v>
      </c>
      <c r="L1497" s="1" t="s">
        <v>20</v>
      </c>
      <c r="M1497" s="1" t="s">
        <v>22</v>
      </c>
      <c r="N1497" s="5">
        <v>45609</v>
      </c>
    </row>
    <row r="1498" spans="1:14" x14ac:dyDescent="0.3">
      <c r="A1498" s="1" t="str">
        <f>"1_5819/2129-11/2024/П"</f>
        <v>1_5819/2129-11/2024/П</v>
      </c>
      <c r="B1498" s="6">
        <v>45609</v>
      </c>
      <c r="C1498" s="1" t="str">
        <f t="shared" si="202"/>
        <v>00038</v>
      </c>
      <c r="D1498" s="2" t="str">
        <f t="shared" si="203"/>
        <v>Видача довідки про реєстрацію місця проживання або місця перебування особи</v>
      </c>
      <c r="E1498" s="1" t="s">
        <v>20</v>
      </c>
      <c r="F1498" s="1" t="str">
        <f t="shared" si="204"/>
        <v>Центр надання адміністративних послуг Рогатинської міської ради</v>
      </c>
      <c r="G1498" s="1" t="str">
        <f t="shared" si="205"/>
        <v>Фізична особа</v>
      </c>
      <c r="H1498" s="1" t="s">
        <v>20</v>
      </c>
      <c r="I1498" s="1" t="s">
        <v>20</v>
      </c>
      <c r="J1498" s="1" t="str">
        <f t="shared" si="201"/>
        <v>Закрито</v>
      </c>
      <c r="K1498" s="6">
        <v>45609</v>
      </c>
      <c r="L1498" s="1" t="s">
        <v>20</v>
      </c>
      <c r="M1498" s="1" t="s">
        <v>22</v>
      </c>
      <c r="N1498" s="5">
        <v>45609</v>
      </c>
    </row>
    <row r="1499" spans="1:14" x14ac:dyDescent="0.3">
      <c r="A1499" s="1" t="str">
        <f>"1_692-11/2024/Г"</f>
        <v>1_692-11/2024/Г</v>
      </c>
      <c r="B1499" s="6">
        <v>45609</v>
      </c>
      <c r="C1499" s="1" t="str">
        <f>"00064"</f>
        <v>00064</v>
      </c>
      <c r="D1499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499" s="1" t="s">
        <v>20</v>
      </c>
      <c r="F1499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499" s="1" t="str">
        <f t="shared" si="205"/>
        <v>Фізична особа</v>
      </c>
      <c r="H1499" s="1" t="s">
        <v>20</v>
      </c>
      <c r="I1499" s="1" t="s">
        <v>20</v>
      </c>
      <c r="J1499" s="1" t="str">
        <f t="shared" si="201"/>
        <v>Закрито</v>
      </c>
      <c r="K1499" s="5">
        <v>45609</v>
      </c>
      <c r="L1499" s="1" t="s">
        <v>20</v>
      </c>
      <c r="M1499" s="1" t="s">
        <v>22</v>
      </c>
      <c r="N1499" s="5">
        <v>45609</v>
      </c>
    </row>
    <row r="1500" spans="1:14" x14ac:dyDescent="0.3">
      <c r="A1500" s="1" t="str">
        <f>"14_982-11/2024/З"</f>
        <v>14_982-11/2024/З</v>
      </c>
      <c r="B1500" s="6">
        <v>45609</v>
      </c>
      <c r="C1500" s="1" t="str">
        <f>"00038"</f>
        <v>00038</v>
      </c>
      <c r="D150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00" s="1" t="s">
        <v>20</v>
      </c>
      <c r="F150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00" s="1" t="str">
        <f t="shared" si="205"/>
        <v>Фізична особа</v>
      </c>
      <c r="H1500" s="1" t="s">
        <v>20</v>
      </c>
      <c r="I1500" s="1" t="s">
        <v>20</v>
      </c>
      <c r="J1500" s="1" t="str">
        <f t="shared" si="201"/>
        <v>Закрито</v>
      </c>
      <c r="K1500" s="5">
        <v>45609</v>
      </c>
      <c r="L1500" s="1" t="s">
        <v>20</v>
      </c>
      <c r="M1500" s="1" t="s">
        <v>22</v>
      </c>
      <c r="N1500" s="5">
        <v>45609</v>
      </c>
    </row>
    <row r="1501" spans="1:14" x14ac:dyDescent="0.3">
      <c r="A1501" s="1" t="str">
        <f>"1_693-11/2024/Г"</f>
        <v>1_693-11/2024/Г</v>
      </c>
      <c r="B1501" s="6">
        <v>45609</v>
      </c>
      <c r="C1501" s="1" t="str">
        <f>"00155"</f>
        <v>00155</v>
      </c>
      <c r="D1501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501" s="1" t="str">
        <f>"03193413"</f>
        <v>03193413</v>
      </c>
      <c r="F150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01" s="1" t="str">
        <f t="shared" si="205"/>
        <v>Фізична особа</v>
      </c>
      <c r="H1501" s="1" t="s">
        <v>20</v>
      </c>
      <c r="I1501" s="1" t="s">
        <v>20</v>
      </c>
      <c r="J1501" s="1" t="str">
        <f t="shared" si="201"/>
        <v>Закрито</v>
      </c>
      <c r="K1501" s="5">
        <v>45653</v>
      </c>
      <c r="L1501" s="1" t="s">
        <v>20</v>
      </c>
      <c r="M1501" s="1" t="s">
        <v>22</v>
      </c>
      <c r="N1501" s="5">
        <v>45653</v>
      </c>
    </row>
    <row r="1502" spans="1:14" x14ac:dyDescent="0.3">
      <c r="A1502" s="1" t="str">
        <f>"1_694-11/2024/Л"</f>
        <v>1_694-11/2024/Л</v>
      </c>
      <c r="B1502" s="6">
        <v>45609</v>
      </c>
      <c r="C1502" s="1" t="str">
        <f>"00038"</f>
        <v>00038</v>
      </c>
      <c r="D150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02" s="1" t="s">
        <v>20</v>
      </c>
      <c r="F150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02" s="1" t="str">
        <f t="shared" si="205"/>
        <v>Фізична особа</v>
      </c>
      <c r="H1502" s="1" t="s">
        <v>20</v>
      </c>
      <c r="I1502" s="1" t="s">
        <v>20</v>
      </c>
      <c r="J1502" s="1" t="str">
        <f t="shared" si="201"/>
        <v>Закрито</v>
      </c>
      <c r="K1502" s="5">
        <v>45609</v>
      </c>
      <c r="L1502" s="1" t="s">
        <v>20</v>
      </c>
      <c r="M1502" s="1" t="s">
        <v>22</v>
      </c>
      <c r="N1502" s="5">
        <v>45609</v>
      </c>
    </row>
    <row r="1503" spans="1:14" x14ac:dyDescent="0.3">
      <c r="A1503" s="1" t="str">
        <f>"1_695-11/2024/Л"</f>
        <v>1_695-11/2024/Л</v>
      </c>
      <c r="B1503" s="6">
        <v>45609</v>
      </c>
      <c r="C1503" s="1" t="str">
        <f>"00038"</f>
        <v>00038</v>
      </c>
      <c r="D150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03" s="1" t="s">
        <v>20</v>
      </c>
      <c r="F150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03" s="1" t="str">
        <f t="shared" si="205"/>
        <v>Фізична особа</v>
      </c>
      <c r="H1503" s="1" t="s">
        <v>20</v>
      </c>
      <c r="I1503" s="1" t="s">
        <v>20</v>
      </c>
      <c r="J1503" s="1" t="str">
        <f t="shared" si="201"/>
        <v>Закрито</v>
      </c>
      <c r="K1503" s="5">
        <v>45609</v>
      </c>
      <c r="L1503" s="1" t="s">
        <v>20</v>
      </c>
      <c r="M1503" s="1" t="s">
        <v>22</v>
      </c>
      <c r="N1503" s="5">
        <v>45609</v>
      </c>
    </row>
    <row r="1504" spans="1:14" x14ac:dyDescent="0.3">
      <c r="A1504" s="1" t="str">
        <f>"35_510-11/2024/Г"</f>
        <v>35_510-11/2024/Г</v>
      </c>
      <c r="B1504" s="6">
        <v>45609</v>
      </c>
      <c r="C1504" s="1" t="str">
        <f>"00038"</f>
        <v>00038</v>
      </c>
      <c r="D150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04" s="1" t="s">
        <v>20</v>
      </c>
      <c r="F150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04" s="1" t="str">
        <f t="shared" si="205"/>
        <v>Фізична особа</v>
      </c>
      <c r="H1504" s="1" t="s">
        <v>20</v>
      </c>
      <c r="I1504" s="1" t="s">
        <v>20</v>
      </c>
      <c r="J1504" s="1" t="str">
        <f t="shared" si="201"/>
        <v>Закрито</v>
      </c>
      <c r="K1504" s="5">
        <v>45609</v>
      </c>
      <c r="L1504" s="1" t="s">
        <v>20</v>
      </c>
      <c r="M1504" s="1" t="s">
        <v>22</v>
      </c>
      <c r="N1504" s="5">
        <v>45609</v>
      </c>
    </row>
    <row r="1505" spans="1:14" x14ac:dyDescent="0.3">
      <c r="A1505" s="1" t="str">
        <f>"35_511-11/2024/Д"</f>
        <v>35_511-11/2024/Д</v>
      </c>
      <c r="B1505" s="6">
        <v>45609</v>
      </c>
      <c r="C1505" s="1" t="str">
        <f>"00244"</f>
        <v>00244</v>
      </c>
      <c r="D1505" s="2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1505" s="1" t="str">
        <f>"04054323"</f>
        <v>04054323</v>
      </c>
      <c r="F1505" s="1" t="str">
        <f>"Рогатинська міська рада"</f>
        <v>Рогатинська міська рада</v>
      </c>
      <c r="G1505" s="1" t="str">
        <f t="shared" si="205"/>
        <v>Фізична особа</v>
      </c>
      <c r="H1505" s="1" t="s">
        <v>20</v>
      </c>
      <c r="I1505" s="1" t="s">
        <v>20</v>
      </c>
      <c r="J1505" s="1" t="str">
        <f t="shared" si="201"/>
        <v>Закрито</v>
      </c>
      <c r="K1505" s="5">
        <v>45609</v>
      </c>
      <c r="L1505" s="1" t="s">
        <v>20</v>
      </c>
      <c r="M1505" s="1" t="s">
        <v>22</v>
      </c>
      <c r="N1505" s="5">
        <v>45609</v>
      </c>
    </row>
    <row r="1506" spans="1:14" x14ac:dyDescent="0.3">
      <c r="A1506" s="1" t="str">
        <f>"24_335-11/2024/С"</f>
        <v>24_335-11/2024/С</v>
      </c>
      <c r="B1506" s="6">
        <v>45609</v>
      </c>
      <c r="C1506" s="1" t="str">
        <f>"001040"</f>
        <v>001040</v>
      </c>
      <c r="D1506" s="2" t="str">
        <f>"Надання допомоги на проживання внутрішньо переміщеним особам"</f>
        <v>Надання допомоги на проживання внутрішньо переміщеним особам</v>
      </c>
      <c r="E1506" s="1" t="str">
        <f>"03193413"</f>
        <v>03193413</v>
      </c>
      <c r="F150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06" s="1" t="str">
        <f t="shared" si="205"/>
        <v>Фізична особа</v>
      </c>
      <c r="H1506" s="1" t="s">
        <v>20</v>
      </c>
      <c r="I1506" s="1" t="s">
        <v>20</v>
      </c>
      <c r="J1506" s="1" t="str">
        <f t="shared" si="201"/>
        <v>Закрито</v>
      </c>
      <c r="K1506" s="5">
        <v>45617</v>
      </c>
      <c r="L1506" s="1" t="s">
        <v>20</v>
      </c>
      <c r="M1506" s="1" t="s">
        <v>22</v>
      </c>
      <c r="N1506" s="5">
        <v>45617</v>
      </c>
    </row>
    <row r="1507" spans="1:14" x14ac:dyDescent="0.3">
      <c r="A1507" s="1" t="str">
        <f>"28_642-11/2024/В"</f>
        <v>28_642-11/2024/В</v>
      </c>
      <c r="B1507" s="6">
        <v>45609</v>
      </c>
      <c r="C1507" s="1" t="str">
        <f>"33"</f>
        <v>33</v>
      </c>
      <c r="D1507" s="2" t="str">
        <f>"33 Довідки різного характеру"</f>
        <v>33 Довідки різного характеру</v>
      </c>
      <c r="E1507" s="1" t="s">
        <v>20</v>
      </c>
      <c r="F150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07" s="1" t="str">
        <f t="shared" si="205"/>
        <v>Фізична особа</v>
      </c>
      <c r="H1507" s="1" t="s">
        <v>20</v>
      </c>
      <c r="I1507" s="1" t="s">
        <v>20</v>
      </c>
      <c r="J1507" s="1" t="str">
        <f t="shared" si="201"/>
        <v>Закрито</v>
      </c>
      <c r="K1507" s="5">
        <v>45609</v>
      </c>
      <c r="L1507" s="1" t="s">
        <v>20</v>
      </c>
      <c r="M1507" s="1" t="s">
        <v>22</v>
      </c>
      <c r="N1507" s="5">
        <v>45609</v>
      </c>
    </row>
    <row r="1508" spans="1:14" x14ac:dyDescent="0.3">
      <c r="A1508" s="1" t="str">
        <f>"1_5820/2129-11/2024/М"</f>
        <v>1_5820/2129-11/2024/М</v>
      </c>
      <c r="B1508" s="6">
        <v>45609</v>
      </c>
      <c r="C1508" s="1" t="str">
        <f>"00038"</f>
        <v>00038</v>
      </c>
      <c r="D150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08" s="1" t="s">
        <v>20</v>
      </c>
      <c r="F150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08" s="1" t="str">
        <f t="shared" si="205"/>
        <v>Фізична особа</v>
      </c>
      <c r="H1508" s="1" t="s">
        <v>20</v>
      </c>
      <c r="I1508" s="1" t="s">
        <v>20</v>
      </c>
      <c r="J1508" s="1" t="str">
        <f t="shared" si="201"/>
        <v>Закрито</v>
      </c>
      <c r="K1508" s="6">
        <v>45609</v>
      </c>
      <c r="L1508" s="1" t="s">
        <v>20</v>
      </c>
      <c r="M1508" s="1" t="s">
        <v>22</v>
      </c>
      <c r="N1508" s="5">
        <v>45609</v>
      </c>
    </row>
    <row r="1509" spans="1:14" x14ac:dyDescent="0.3">
      <c r="A1509" s="1" t="str">
        <f>"1_5821/2129-11/2024/Н"</f>
        <v>1_5821/2129-11/2024/Н</v>
      </c>
      <c r="B1509" s="6">
        <v>45609</v>
      </c>
      <c r="C1509" s="1" t="str">
        <f>"00038"</f>
        <v>00038</v>
      </c>
      <c r="D150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09" s="1" t="s">
        <v>20</v>
      </c>
      <c r="F150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09" s="1" t="str">
        <f t="shared" si="205"/>
        <v>Фізична особа</v>
      </c>
      <c r="H1509" s="1" t="s">
        <v>20</v>
      </c>
      <c r="I1509" s="1" t="s">
        <v>20</v>
      </c>
      <c r="J1509" s="1" t="str">
        <f t="shared" si="201"/>
        <v>Закрито</v>
      </c>
      <c r="K1509" s="6">
        <v>45609</v>
      </c>
      <c r="L1509" s="1" t="s">
        <v>20</v>
      </c>
      <c r="M1509" s="1" t="s">
        <v>22</v>
      </c>
      <c r="N1509" s="5">
        <v>45609</v>
      </c>
    </row>
    <row r="1510" spans="1:14" x14ac:dyDescent="0.3">
      <c r="A1510" s="1" t="str">
        <f>"1_5822/2129-11/2024/П"</f>
        <v>1_5822/2129-11/2024/П</v>
      </c>
      <c r="B1510" s="6">
        <v>45609</v>
      </c>
      <c r="C1510" s="1" t="str">
        <f>"00038"</f>
        <v>00038</v>
      </c>
      <c r="D151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10" s="1" t="s">
        <v>20</v>
      </c>
      <c r="F151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10" s="1" t="str">
        <f t="shared" si="205"/>
        <v>Фізична особа</v>
      </c>
      <c r="H1510" s="1" t="s">
        <v>20</v>
      </c>
      <c r="I1510" s="1" t="s">
        <v>20</v>
      </c>
      <c r="J1510" s="1" t="str">
        <f t="shared" si="201"/>
        <v>Закрито</v>
      </c>
      <c r="K1510" s="6">
        <v>45609</v>
      </c>
      <c r="L1510" s="1" t="s">
        <v>20</v>
      </c>
      <c r="M1510" s="1" t="s">
        <v>22</v>
      </c>
      <c r="N1510" s="5">
        <v>45609</v>
      </c>
    </row>
    <row r="1511" spans="1:14" x14ac:dyDescent="0.3">
      <c r="A1511" s="1" t="str">
        <f>"4_1271/03193413-11/2024/З"</f>
        <v>4_1271/03193413-11/2024/З</v>
      </c>
      <c r="B1511" s="6">
        <v>45609</v>
      </c>
      <c r="C1511" s="1" t="str">
        <f>"00155"</f>
        <v>00155</v>
      </c>
      <c r="D1511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511" s="1" t="str">
        <f>"03193413"</f>
        <v>03193413</v>
      </c>
      <c r="F151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11" s="1" t="str">
        <f t="shared" si="205"/>
        <v>Фізична особа</v>
      </c>
      <c r="H1511" s="1" t="s">
        <v>20</v>
      </c>
      <c r="I1511" s="1" t="s">
        <v>20</v>
      </c>
      <c r="J1511" s="1" t="str">
        <f t="shared" si="201"/>
        <v>Закрито</v>
      </c>
      <c r="K1511" s="5">
        <v>45615</v>
      </c>
      <c r="L1511" s="1" t="s">
        <v>20</v>
      </c>
      <c r="M1511" s="1" t="s">
        <v>22</v>
      </c>
      <c r="N1511" s="5">
        <v>45615</v>
      </c>
    </row>
    <row r="1512" spans="1:14" x14ac:dyDescent="0.3">
      <c r="A1512" s="1" t="str">
        <f>"14_983-11/2024/З"</f>
        <v>14_983-11/2024/З</v>
      </c>
      <c r="B1512" s="6">
        <v>45609</v>
      </c>
      <c r="C1512" s="1" t="str">
        <f>"01196"</f>
        <v>01196</v>
      </c>
      <c r="D1512" s="2" t="str">
        <f>"Продовження строку дії посвідчень батьків багатодітної сім’ї та дитини з багатодітної сім'ї"</f>
        <v>Продовження строку дії посвідчень батьків багатодітної сім’ї та дитини з багатодітної сім'ї</v>
      </c>
      <c r="E1512" s="1" t="str">
        <f>"03193413"</f>
        <v>03193413</v>
      </c>
      <c r="F151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12" s="1" t="str">
        <f t="shared" si="205"/>
        <v>Фізична особа</v>
      </c>
      <c r="H1512" s="1" t="s">
        <v>20</v>
      </c>
      <c r="I1512" s="1" t="s">
        <v>20</v>
      </c>
      <c r="J1512" s="1" t="str">
        <f>"На обробці в СНАП"</f>
        <v>На обробці в СНАП</v>
      </c>
      <c r="K1512" s="1" t="s">
        <v>20</v>
      </c>
      <c r="L1512" s="1" t="s">
        <v>20</v>
      </c>
      <c r="M1512" s="1" t="s">
        <v>22</v>
      </c>
      <c r="N1512" s="1" t="s">
        <v>20</v>
      </c>
    </row>
    <row r="1513" spans="1:14" x14ac:dyDescent="0.3">
      <c r="A1513" s="1" t="str">
        <f>"21_656-11/2024/Б"</f>
        <v>21_656-11/2024/Б</v>
      </c>
      <c r="B1513" s="6">
        <v>45609</v>
      </c>
      <c r="C1513" s="1" t="str">
        <f>"33"</f>
        <v>33</v>
      </c>
      <c r="D1513" s="2" t="str">
        <f>"33 Довідки різного характеру"</f>
        <v>33 Довідки різного характеру</v>
      </c>
      <c r="E1513" s="1" t="s">
        <v>20</v>
      </c>
      <c r="F15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13" s="1" t="str">
        <f t="shared" si="205"/>
        <v>Фізична особа</v>
      </c>
      <c r="H1513" s="1" t="s">
        <v>20</v>
      </c>
      <c r="I1513" s="1" t="s">
        <v>20</v>
      </c>
      <c r="J1513" s="1" t="str">
        <f>"Закрито"</f>
        <v>Закрито</v>
      </c>
      <c r="K1513" s="5">
        <v>45609</v>
      </c>
      <c r="L1513" s="1" t="s">
        <v>20</v>
      </c>
      <c r="M1513" s="1" t="s">
        <v>22</v>
      </c>
      <c r="N1513" s="5">
        <v>45609</v>
      </c>
    </row>
    <row r="1514" spans="1:14" x14ac:dyDescent="0.3">
      <c r="A1514" s="1" t="str">
        <f>"3_845-11/2024/Я"</f>
        <v>3_845-11/2024/Я</v>
      </c>
      <c r="B1514" s="6">
        <v>45609</v>
      </c>
      <c r="C1514" s="1" t="str">
        <f>"33"</f>
        <v>33</v>
      </c>
      <c r="D1514" s="2" t="str">
        <f>"33 Довідки різного характеру"</f>
        <v>33 Довідки різного характеру</v>
      </c>
      <c r="E1514" s="1" t="s">
        <v>20</v>
      </c>
      <c r="F151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14" s="1" t="str">
        <f t="shared" si="205"/>
        <v>Фізична особа</v>
      </c>
      <c r="H1514" s="1" t="s">
        <v>20</v>
      </c>
      <c r="I1514" s="1" t="s">
        <v>20</v>
      </c>
      <c r="J1514" s="1" t="str">
        <f>"Закрито"</f>
        <v>Закрито</v>
      </c>
      <c r="K1514" s="5">
        <v>45609</v>
      </c>
      <c r="L1514" s="1" t="s">
        <v>20</v>
      </c>
      <c r="M1514" s="1" t="s">
        <v>22</v>
      </c>
      <c r="N1514" s="5">
        <v>45609</v>
      </c>
    </row>
    <row r="1515" spans="1:14" x14ac:dyDescent="0.3">
      <c r="A1515" s="1" t="str">
        <f>"34_386-11/2024/Д"</f>
        <v>34_386-11/2024/Д</v>
      </c>
      <c r="B1515" s="6">
        <v>45609</v>
      </c>
      <c r="C1515" s="1" t="str">
        <f>"00064"</f>
        <v>00064</v>
      </c>
      <c r="D1515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515" s="1" t="s">
        <v>20</v>
      </c>
      <c r="F1515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515" s="1" t="str">
        <f t="shared" si="205"/>
        <v>Фізична особа</v>
      </c>
      <c r="H1515" s="1" t="s">
        <v>20</v>
      </c>
      <c r="I1515" s="1" t="s">
        <v>20</v>
      </c>
      <c r="J1515" s="1" t="str">
        <f>"Закрито"</f>
        <v>Закрито</v>
      </c>
      <c r="K1515" s="5">
        <v>45609</v>
      </c>
      <c r="L1515" s="1" t="s">
        <v>20</v>
      </c>
      <c r="M1515" s="1" t="s">
        <v>22</v>
      </c>
      <c r="N1515" s="5">
        <v>45609</v>
      </c>
    </row>
    <row r="1516" spans="1:14" x14ac:dyDescent="0.3">
      <c r="A1516" s="1" t="str">
        <f>"22_542-11/2024/М"</f>
        <v>22_542-11/2024/М</v>
      </c>
      <c r="B1516" s="6">
        <v>45609</v>
      </c>
      <c r="C1516" s="1" t="str">
        <f>"00155"</f>
        <v>00155</v>
      </c>
      <c r="D1516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516" s="1" t="str">
        <f>"03193413"</f>
        <v>03193413</v>
      </c>
      <c r="F151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16" s="1" t="str">
        <f t="shared" si="205"/>
        <v>Фізична особа</v>
      </c>
      <c r="H1516" s="1" t="s">
        <v>20</v>
      </c>
      <c r="I1516" s="1" t="s">
        <v>20</v>
      </c>
      <c r="J1516" s="1" t="str">
        <f>"На обробці в СНАП"</f>
        <v>На обробці в СНАП</v>
      </c>
      <c r="K1516" s="1" t="s">
        <v>20</v>
      </c>
      <c r="L1516" s="1" t="s">
        <v>20</v>
      </c>
      <c r="M1516" s="1" t="s">
        <v>22</v>
      </c>
      <c r="N1516" s="1" t="s">
        <v>20</v>
      </c>
    </row>
    <row r="1517" spans="1:14" x14ac:dyDescent="0.3">
      <c r="A1517" s="1" t="str">
        <f>"9_1652/04054323-11/2024/М"</f>
        <v>9_1652/04054323-11/2024/М</v>
      </c>
      <c r="B1517" s="6">
        <v>45609</v>
      </c>
      <c r="C1517" s="1" t="str">
        <f>"01-2"</f>
        <v>01-2</v>
      </c>
      <c r="D1517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виробництва"</f>
        <v>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</v>
      </c>
      <c r="E1517" s="1" t="str">
        <f>"04054323"</f>
        <v>04054323</v>
      </c>
      <c r="F1517" s="1" t="str">
        <f>"Рогатинська міська рада"</f>
        <v>Рогатинська міська рада</v>
      </c>
      <c r="G1517" s="1" t="str">
        <f>"Юридична особа"</f>
        <v>Юридична особа</v>
      </c>
      <c r="H1517" s="1" t="str">
        <f>"МХП ""Захід-Агро"""</f>
        <v>МХП "Захід-Агро"</v>
      </c>
      <c r="I1517" s="1" t="s">
        <v>20</v>
      </c>
      <c r="J1517" s="1" t="str">
        <f>"На обробці в СНАП"</f>
        <v>На обробці в СНАП</v>
      </c>
      <c r="K1517" s="1" t="s">
        <v>20</v>
      </c>
      <c r="L1517" s="1" t="s">
        <v>20</v>
      </c>
      <c r="M1517" s="1" t="s">
        <v>22</v>
      </c>
      <c r="N1517" s="1" t="s">
        <v>20</v>
      </c>
    </row>
    <row r="1518" spans="1:14" x14ac:dyDescent="0.3">
      <c r="A1518" s="1" t="str">
        <f>"34_387-11/2024/Ч"</f>
        <v>34_387-11/2024/Ч</v>
      </c>
      <c r="B1518" s="6">
        <v>45609</v>
      </c>
      <c r="C1518" s="1" t="str">
        <f>"33"</f>
        <v>33</v>
      </c>
      <c r="D1518" s="2" t="str">
        <f>"33 Довідки різного характеру"</f>
        <v>33 Довідки різного характеру</v>
      </c>
      <c r="E1518" s="1" t="s">
        <v>20</v>
      </c>
      <c r="F1518" s="1" t="str">
        <f t="shared" ref="F1518:F1526" si="206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18" s="1" t="str">
        <f t="shared" ref="G1518:G1548" si="207">"Фізична особа"</f>
        <v>Фізична особа</v>
      </c>
      <c r="H1518" s="1" t="s">
        <v>20</v>
      </c>
      <c r="I1518" s="1" t="s">
        <v>20</v>
      </c>
      <c r="J1518" s="1" t="str">
        <f t="shared" ref="J1518:J1540" si="208">"Закрито"</f>
        <v>Закрито</v>
      </c>
      <c r="K1518" s="5">
        <v>45609</v>
      </c>
      <c r="L1518" s="1" t="s">
        <v>20</v>
      </c>
      <c r="M1518" s="1" t="s">
        <v>22</v>
      </c>
      <c r="N1518" s="5">
        <v>45609</v>
      </c>
    </row>
    <row r="1519" spans="1:14" x14ac:dyDescent="0.3">
      <c r="A1519" s="1" t="str">
        <f>"15_335-11/2024/А"</f>
        <v>15_335-11/2024/А</v>
      </c>
      <c r="B1519" s="6">
        <v>45609</v>
      </c>
      <c r="C1519" s="1" t="str">
        <f>"01298"</f>
        <v>01298</v>
      </c>
      <c r="D1519" s="2" t="str">
        <f>"Видача довідки про реєстрацію місця проживання померлого,  у тому числі про поживаючих разом з померлим за однією адресою"</f>
        <v>Видача довідки про реєстрацію місця проживання померлого,  у тому числі про поживаючих разом з померлим за однією адресою</v>
      </c>
      <c r="E1519" s="1" t="s">
        <v>20</v>
      </c>
      <c r="F1519" s="1" t="str">
        <f t="shared" si="206"/>
        <v>Центр надання адміністративних послуг Рогатинської міської ради</v>
      </c>
      <c r="G1519" s="1" t="str">
        <f t="shared" si="207"/>
        <v>Фізична особа</v>
      </c>
      <c r="H1519" s="1" t="s">
        <v>20</v>
      </c>
      <c r="I1519" s="1" t="s">
        <v>20</v>
      </c>
      <c r="J1519" s="1" t="str">
        <f t="shared" si="208"/>
        <v>Закрито</v>
      </c>
      <c r="K1519" s="5">
        <v>45609</v>
      </c>
      <c r="L1519" s="1" t="s">
        <v>20</v>
      </c>
      <c r="M1519" s="1" t="s">
        <v>22</v>
      </c>
      <c r="N1519" s="5">
        <v>45609</v>
      </c>
    </row>
    <row r="1520" spans="1:14" x14ac:dyDescent="0.3">
      <c r="A1520" s="1" t="str">
        <f>"8_539-11/2024/Т"</f>
        <v>8_539-11/2024/Т</v>
      </c>
      <c r="B1520" s="6">
        <v>45609</v>
      </c>
      <c r="C1520" s="1" t="str">
        <f t="shared" ref="C1520:C1525" si="209">"00038"</f>
        <v>00038</v>
      </c>
      <c r="D1520" s="2" t="str">
        <f t="shared" ref="D1520:D1525" si="210"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20" s="1" t="s">
        <v>20</v>
      </c>
      <c r="F1520" s="1" t="str">
        <f t="shared" si="206"/>
        <v>Центр надання адміністративних послуг Рогатинської міської ради</v>
      </c>
      <c r="G1520" s="1" t="str">
        <f t="shared" si="207"/>
        <v>Фізична особа</v>
      </c>
      <c r="H1520" s="1" t="s">
        <v>20</v>
      </c>
      <c r="I1520" s="1" t="s">
        <v>20</v>
      </c>
      <c r="J1520" s="1" t="str">
        <f t="shared" si="208"/>
        <v>Закрито</v>
      </c>
      <c r="K1520" s="5">
        <v>45609</v>
      </c>
      <c r="L1520" s="1" t="s">
        <v>20</v>
      </c>
      <c r="M1520" s="1" t="s">
        <v>22</v>
      </c>
      <c r="N1520" s="5">
        <v>45609</v>
      </c>
    </row>
    <row r="1521" spans="1:14" x14ac:dyDescent="0.3">
      <c r="A1521" s="1" t="str">
        <f>"1_5823/2129-11/2024/Л"</f>
        <v>1_5823/2129-11/2024/Л</v>
      </c>
      <c r="B1521" s="6">
        <v>45609</v>
      </c>
      <c r="C1521" s="1" t="str">
        <f t="shared" si="209"/>
        <v>00038</v>
      </c>
      <c r="D1521" s="2" t="str">
        <f t="shared" si="210"/>
        <v>Видача довідки про реєстрацію місця проживання або місця перебування особи</v>
      </c>
      <c r="E1521" s="1" t="s">
        <v>20</v>
      </c>
      <c r="F1521" s="1" t="str">
        <f t="shared" si="206"/>
        <v>Центр надання адміністративних послуг Рогатинської міської ради</v>
      </c>
      <c r="G1521" s="1" t="str">
        <f t="shared" si="207"/>
        <v>Фізична особа</v>
      </c>
      <c r="H1521" s="1" t="s">
        <v>20</v>
      </c>
      <c r="I1521" s="1" t="s">
        <v>20</v>
      </c>
      <c r="J1521" s="1" t="str">
        <f t="shared" si="208"/>
        <v>Закрито</v>
      </c>
      <c r="K1521" s="6">
        <v>45609</v>
      </c>
      <c r="L1521" s="1" t="s">
        <v>20</v>
      </c>
      <c r="M1521" s="1" t="s">
        <v>22</v>
      </c>
      <c r="N1521" s="5">
        <v>45609</v>
      </c>
    </row>
    <row r="1522" spans="1:14" x14ac:dyDescent="0.3">
      <c r="A1522" s="1" t="str">
        <f>"1_5824/2129-11/2024/С"</f>
        <v>1_5824/2129-11/2024/С</v>
      </c>
      <c r="B1522" s="6">
        <v>45609</v>
      </c>
      <c r="C1522" s="1" t="str">
        <f t="shared" si="209"/>
        <v>00038</v>
      </c>
      <c r="D1522" s="2" t="str">
        <f t="shared" si="210"/>
        <v>Видача довідки про реєстрацію місця проживання або місця перебування особи</v>
      </c>
      <c r="E1522" s="1" t="s">
        <v>20</v>
      </c>
      <c r="F1522" s="1" t="str">
        <f t="shared" si="206"/>
        <v>Центр надання адміністративних послуг Рогатинської міської ради</v>
      </c>
      <c r="G1522" s="1" t="str">
        <f t="shared" si="207"/>
        <v>Фізична особа</v>
      </c>
      <c r="H1522" s="1" t="s">
        <v>20</v>
      </c>
      <c r="I1522" s="1" t="s">
        <v>20</v>
      </c>
      <c r="J1522" s="1" t="str">
        <f t="shared" si="208"/>
        <v>Закрито</v>
      </c>
      <c r="K1522" s="6">
        <v>45609</v>
      </c>
      <c r="L1522" s="1" t="s">
        <v>20</v>
      </c>
      <c r="M1522" s="1" t="s">
        <v>22</v>
      </c>
      <c r="N1522" s="5">
        <v>45609</v>
      </c>
    </row>
    <row r="1523" spans="1:14" x14ac:dyDescent="0.3">
      <c r="A1523" s="1" t="str">
        <f>"1_5825/2129-11/2024/М"</f>
        <v>1_5825/2129-11/2024/М</v>
      </c>
      <c r="B1523" s="6">
        <v>45609</v>
      </c>
      <c r="C1523" s="1" t="str">
        <f t="shared" si="209"/>
        <v>00038</v>
      </c>
      <c r="D1523" s="2" t="str">
        <f t="shared" si="210"/>
        <v>Видача довідки про реєстрацію місця проживання або місця перебування особи</v>
      </c>
      <c r="E1523" s="1" t="s">
        <v>20</v>
      </c>
      <c r="F1523" s="1" t="str">
        <f t="shared" si="206"/>
        <v>Центр надання адміністративних послуг Рогатинської міської ради</v>
      </c>
      <c r="G1523" s="1" t="str">
        <f t="shared" si="207"/>
        <v>Фізична особа</v>
      </c>
      <c r="H1523" s="1" t="s">
        <v>20</v>
      </c>
      <c r="I1523" s="1" t="s">
        <v>20</v>
      </c>
      <c r="J1523" s="1" t="str">
        <f t="shared" si="208"/>
        <v>Закрито</v>
      </c>
      <c r="K1523" s="6">
        <v>45609</v>
      </c>
      <c r="L1523" s="1" t="s">
        <v>20</v>
      </c>
      <c r="M1523" s="1" t="s">
        <v>22</v>
      </c>
      <c r="N1523" s="5">
        <v>45609</v>
      </c>
    </row>
    <row r="1524" spans="1:14" x14ac:dyDescent="0.3">
      <c r="A1524" s="1" t="str">
        <f>"1_5826/2129-11/2024/М"</f>
        <v>1_5826/2129-11/2024/М</v>
      </c>
      <c r="B1524" s="6">
        <v>45609</v>
      </c>
      <c r="C1524" s="1" t="str">
        <f t="shared" si="209"/>
        <v>00038</v>
      </c>
      <c r="D1524" s="2" t="str">
        <f t="shared" si="210"/>
        <v>Видача довідки про реєстрацію місця проживання або місця перебування особи</v>
      </c>
      <c r="E1524" s="1" t="s">
        <v>20</v>
      </c>
      <c r="F1524" s="1" t="str">
        <f t="shared" si="206"/>
        <v>Центр надання адміністративних послуг Рогатинської міської ради</v>
      </c>
      <c r="G1524" s="1" t="str">
        <f t="shared" si="207"/>
        <v>Фізична особа</v>
      </c>
      <c r="H1524" s="1" t="s">
        <v>20</v>
      </c>
      <c r="I1524" s="1" t="s">
        <v>20</v>
      </c>
      <c r="J1524" s="1" t="str">
        <f t="shared" si="208"/>
        <v>Закрито</v>
      </c>
      <c r="K1524" s="6">
        <v>45609</v>
      </c>
      <c r="L1524" s="1" t="s">
        <v>20</v>
      </c>
      <c r="M1524" s="1" t="s">
        <v>22</v>
      </c>
      <c r="N1524" s="5">
        <v>45609</v>
      </c>
    </row>
    <row r="1525" spans="1:14" x14ac:dyDescent="0.3">
      <c r="A1525" s="1" t="str">
        <f>"1_696-11/2024/Г"</f>
        <v>1_696-11/2024/Г</v>
      </c>
      <c r="B1525" s="6">
        <v>45609</v>
      </c>
      <c r="C1525" s="1" t="str">
        <f t="shared" si="209"/>
        <v>00038</v>
      </c>
      <c r="D1525" s="2" t="str">
        <f t="shared" si="210"/>
        <v>Видача довідки про реєстрацію місця проживання або місця перебування особи</v>
      </c>
      <c r="E1525" s="1" t="s">
        <v>20</v>
      </c>
      <c r="F1525" s="1" t="str">
        <f t="shared" si="206"/>
        <v>Центр надання адміністративних послуг Рогатинської міської ради</v>
      </c>
      <c r="G1525" s="1" t="str">
        <f t="shared" si="207"/>
        <v>Фізична особа</v>
      </c>
      <c r="H1525" s="1" t="s">
        <v>20</v>
      </c>
      <c r="I1525" s="1" t="s">
        <v>20</v>
      </c>
      <c r="J1525" s="1" t="str">
        <f t="shared" si="208"/>
        <v>Закрито</v>
      </c>
      <c r="K1525" s="5">
        <v>45609</v>
      </c>
      <c r="L1525" s="1" t="s">
        <v>20</v>
      </c>
      <c r="M1525" s="1" t="s">
        <v>22</v>
      </c>
      <c r="N1525" s="5">
        <v>45609</v>
      </c>
    </row>
    <row r="1526" spans="1:14" x14ac:dyDescent="0.3">
      <c r="A1526" s="1" t="str">
        <f>"7_260/2129-11/2024/Я"</f>
        <v>7_260/2129-11/2024/Я</v>
      </c>
      <c r="B1526" s="6">
        <v>45609</v>
      </c>
      <c r="C1526" s="1" t="str">
        <f>"33"</f>
        <v>33</v>
      </c>
      <c r="D1526" s="2" t="str">
        <f>"33 Довідки різного характеру"</f>
        <v>33 Довідки різного характеру</v>
      </c>
      <c r="E1526" s="1" t="s">
        <v>20</v>
      </c>
      <c r="F1526" s="1" t="str">
        <f t="shared" si="206"/>
        <v>Центр надання адміністративних послуг Рогатинської міської ради</v>
      </c>
      <c r="G1526" s="1" t="str">
        <f t="shared" si="207"/>
        <v>Фізична особа</v>
      </c>
      <c r="H1526" s="1" t="s">
        <v>20</v>
      </c>
      <c r="I1526" s="1" t="s">
        <v>20</v>
      </c>
      <c r="J1526" s="1" t="str">
        <f t="shared" si="208"/>
        <v>Закрито</v>
      </c>
      <c r="K1526" s="5">
        <v>45609</v>
      </c>
      <c r="L1526" s="1" t="s">
        <v>20</v>
      </c>
      <c r="M1526" s="1" t="s">
        <v>22</v>
      </c>
      <c r="N1526" s="5">
        <v>45609</v>
      </c>
    </row>
    <row r="1527" spans="1:14" x14ac:dyDescent="0.3">
      <c r="A1527" s="1" t="str">
        <f>"1_697-11/2024/Г"</f>
        <v>1_697-11/2024/Г</v>
      </c>
      <c r="B1527" s="6">
        <v>45609</v>
      </c>
      <c r="C1527" s="1" t="str">
        <f>"00144"</f>
        <v>00144</v>
      </c>
      <c r="D1527" s="2" t="str">
        <f>"Призначення державної допомоги при народженні дитини"</f>
        <v>Призначення державної допомоги при народженні дитини</v>
      </c>
      <c r="E1527" s="1" t="str">
        <f>"03193413"</f>
        <v>03193413</v>
      </c>
      <c r="F152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27" s="1" t="str">
        <f t="shared" si="207"/>
        <v>Фізична особа</v>
      </c>
      <c r="H1527" s="1" t="s">
        <v>20</v>
      </c>
      <c r="I1527" s="1" t="s">
        <v>20</v>
      </c>
      <c r="J1527" s="1" t="str">
        <f t="shared" si="208"/>
        <v>Закрито</v>
      </c>
      <c r="K1527" s="5">
        <v>45653</v>
      </c>
      <c r="L1527" s="1" t="s">
        <v>20</v>
      </c>
      <c r="M1527" s="1" t="s">
        <v>22</v>
      </c>
      <c r="N1527" s="5">
        <v>45653</v>
      </c>
    </row>
    <row r="1528" spans="1:14" x14ac:dyDescent="0.3">
      <c r="A1528" s="1" t="str">
        <f>"1_698-11/2024/Я"</f>
        <v>1_698-11/2024/Я</v>
      </c>
      <c r="B1528" s="6">
        <v>45609</v>
      </c>
      <c r="C1528" s="1" t="str">
        <f>"33"</f>
        <v>33</v>
      </c>
      <c r="D1528" s="2" t="str">
        <f>"33 Довідки різного характеру"</f>
        <v>33 Довідки різного характеру</v>
      </c>
      <c r="E1528" s="1" t="s">
        <v>20</v>
      </c>
      <c r="F15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28" s="1" t="str">
        <f t="shared" si="207"/>
        <v>Фізична особа</v>
      </c>
      <c r="H1528" s="1" t="s">
        <v>20</v>
      </c>
      <c r="I1528" s="1" t="s">
        <v>20</v>
      </c>
      <c r="J1528" s="1" t="str">
        <f t="shared" si="208"/>
        <v>Закрито</v>
      </c>
      <c r="K1528" s="5">
        <v>45609</v>
      </c>
      <c r="L1528" s="1" t="s">
        <v>20</v>
      </c>
      <c r="M1528" s="1" t="s">
        <v>22</v>
      </c>
      <c r="N1528" s="5">
        <v>45609</v>
      </c>
    </row>
    <row r="1529" spans="1:14" x14ac:dyDescent="0.3">
      <c r="A1529" s="1" t="str">
        <f>"4_1272/03193413-11/2024/Б"</f>
        <v>4_1272/03193413-11/2024/Б</v>
      </c>
      <c r="B1529" s="6">
        <v>45609</v>
      </c>
      <c r="C1529" s="1" t="str">
        <f>"00103"</f>
        <v>00103</v>
      </c>
      <c r="D1529" s="2" t="s">
        <v>1</v>
      </c>
      <c r="E1529" s="1" t="str">
        <f>"03193413"</f>
        <v>03193413</v>
      </c>
      <c r="F152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29" s="1" t="str">
        <f t="shared" si="207"/>
        <v>Фізична особа</v>
      </c>
      <c r="H1529" s="1" t="s">
        <v>20</v>
      </c>
      <c r="I1529" s="1" t="s">
        <v>20</v>
      </c>
      <c r="J1529" s="1" t="str">
        <f t="shared" si="208"/>
        <v>Закрито</v>
      </c>
      <c r="K1529" s="5">
        <v>45615</v>
      </c>
      <c r="L1529" s="1" t="s">
        <v>20</v>
      </c>
      <c r="M1529" s="1" t="s">
        <v>22</v>
      </c>
      <c r="N1529" s="5">
        <v>45615</v>
      </c>
    </row>
    <row r="1530" spans="1:14" x14ac:dyDescent="0.3">
      <c r="A1530" s="1" t="str">
        <f>"15_336-11/2024/Б"</f>
        <v>15_336-11/2024/Б</v>
      </c>
      <c r="B1530" s="6">
        <v>45609</v>
      </c>
      <c r="C1530" s="1" t="str">
        <f>"00037"</f>
        <v>00037</v>
      </c>
      <c r="D1530" s="2" t="str">
        <f>"Зняття з реєстрації місця проживання"</f>
        <v>Зняття з реєстрації місця проживання</v>
      </c>
      <c r="E1530" s="1" t="s">
        <v>20</v>
      </c>
      <c r="F15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30" s="1" t="str">
        <f t="shared" si="207"/>
        <v>Фізична особа</v>
      </c>
      <c r="H1530" s="1" t="s">
        <v>20</v>
      </c>
      <c r="I1530" s="1" t="s">
        <v>20</v>
      </c>
      <c r="J1530" s="1" t="str">
        <f t="shared" si="208"/>
        <v>Закрито</v>
      </c>
      <c r="K1530" s="5">
        <v>45609</v>
      </c>
      <c r="L1530" s="1" t="str">
        <f>"45.42"</f>
        <v>45.42</v>
      </c>
      <c r="M1530" s="1" t="s">
        <v>22</v>
      </c>
      <c r="N1530" s="5">
        <v>45609</v>
      </c>
    </row>
    <row r="1531" spans="1:14" x14ac:dyDescent="0.3">
      <c r="A1531" s="1" t="str">
        <f>"1_699-11/2024/Ф"</f>
        <v>1_699-11/2024/Ф</v>
      </c>
      <c r="B1531" s="6">
        <v>45609</v>
      </c>
      <c r="C1531" s="1" t="str">
        <f>"33"</f>
        <v>33</v>
      </c>
      <c r="D1531" s="2" t="str">
        <f>"33 Довідки різного характеру"</f>
        <v>33 Довідки різного характеру</v>
      </c>
      <c r="E1531" s="1" t="s">
        <v>20</v>
      </c>
      <c r="F15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31" s="1" t="str">
        <f t="shared" si="207"/>
        <v>Фізична особа</v>
      </c>
      <c r="H1531" s="1" t="s">
        <v>20</v>
      </c>
      <c r="I1531" s="1" t="s">
        <v>20</v>
      </c>
      <c r="J1531" s="1" t="str">
        <f t="shared" si="208"/>
        <v>Закрито</v>
      </c>
      <c r="K1531" s="5">
        <v>45609</v>
      </c>
      <c r="L1531" s="1" t="s">
        <v>20</v>
      </c>
      <c r="M1531" s="1" t="s">
        <v>22</v>
      </c>
      <c r="N1531" s="5">
        <v>45609</v>
      </c>
    </row>
    <row r="1532" spans="1:14" x14ac:dyDescent="0.3">
      <c r="A1532" s="1" t="str">
        <f>"3_846-11/2024/Л"</f>
        <v>3_846-11/2024/Л</v>
      </c>
      <c r="B1532" s="6">
        <v>45609</v>
      </c>
      <c r="C1532" s="1" t="str">
        <f>"01196"</f>
        <v>01196</v>
      </c>
      <c r="D1532" s="2" t="str">
        <f>"Продовження строку дії посвідчень батьків багатодітної сім’ї та дитини з багатодітної сім'ї"</f>
        <v>Продовження строку дії посвідчень батьків багатодітної сім’ї та дитини з багатодітної сім'ї</v>
      </c>
      <c r="E1532" s="1" t="str">
        <f>"03193413"</f>
        <v>03193413</v>
      </c>
      <c r="F153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32" s="1" t="str">
        <f t="shared" si="207"/>
        <v>Фізична особа</v>
      </c>
      <c r="H1532" s="1" t="s">
        <v>20</v>
      </c>
      <c r="I1532" s="1" t="s">
        <v>20</v>
      </c>
      <c r="J1532" s="1" t="str">
        <f t="shared" si="208"/>
        <v>Закрито</v>
      </c>
      <c r="K1532" s="5">
        <v>45622</v>
      </c>
      <c r="L1532" s="1" t="s">
        <v>20</v>
      </c>
      <c r="M1532" s="1" t="s">
        <v>22</v>
      </c>
      <c r="N1532" s="5">
        <v>45622</v>
      </c>
    </row>
    <row r="1533" spans="1:14" x14ac:dyDescent="0.3">
      <c r="A1533" s="1" t="str">
        <f>"15_337-11/2024/М"</f>
        <v>15_337-11/2024/М</v>
      </c>
      <c r="B1533" s="6">
        <v>45609</v>
      </c>
      <c r="C1533" s="1" t="str">
        <f>"00037"</f>
        <v>00037</v>
      </c>
      <c r="D1533" s="2" t="str">
        <f>"Зняття з реєстрації місця проживання"</f>
        <v>Зняття з реєстрації місця проживання</v>
      </c>
      <c r="E1533" s="1" t="s">
        <v>20</v>
      </c>
      <c r="F153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33" s="1" t="str">
        <f t="shared" si="207"/>
        <v>Фізична особа</v>
      </c>
      <c r="H1533" s="1" t="s">
        <v>20</v>
      </c>
      <c r="I1533" s="1" t="s">
        <v>20</v>
      </c>
      <c r="J1533" s="1" t="str">
        <f t="shared" si="208"/>
        <v>Закрито</v>
      </c>
      <c r="K1533" s="5">
        <v>45609</v>
      </c>
      <c r="L1533" s="1" t="str">
        <f>"45.42"</f>
        <v>45.42</v>
      </c>
      <c r="M1533" s="1" t="s">
        <v>22</v>
      </c>
      <c r="N1533" s="5">
        <v>45609</v>
      </c>
    </row>
    <row r="1534" spans="1:14" x14ac:dyDescent="0.3">
      <c r="A1534" s="1" t="str">
        <f>"19_522-11/2024/З"</f>
        <v>19_522-11/2024/З</v>
      </c>
      <c r="B1534" s="6">
        <v>45609</v>
      </c>
      <c r="C1534" s="1" t="str">
        <f>"33"</f>
        <v>33</v>
      </c>
      <c r="D1534" s="2" t="str">
        <f>"33 Довідки різного характеру"</f>
        <v>33 Довідки різного характеру</v>
      </c>
      <c r="E1534" s="1" t="s">
        <v>20</v>
      </c>
      <c r="F15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34" s="1" t="str">
        <f t="shared" si="207"/>
        <v>Фізична особа</v>
      </c>
      <c r="H1534" s="1" t="s">
        <v>20</v>
      </c>
      <c r="I1534" s="1" t="s">
        <v>20</v>
      </c>
      <c r="J1534" s="1" t="str">
        <f t="shared" si="208"/>
        <v>Закрито</v>
      </c>
      <c r="K1534" s="5">
        <v>45609</v>
      </c>
      <c r="L1534" s="1" t="s">
        <v>20</v>
      </c>
      <c r="M1534" s="1" t="s">
        <v>22</v>
      </c>
      <c r="N1534" s="5">
        <v>45609</v>
      </c>
    </row>
    <row r="1535" spans="1:14" x14ac:dyDescent="0.3">
      <c r="A1535" s="1" t="str">
        <f>"3_847-11/2024/Г"</f>
        <v>3_847-11/2024/Г</v>
      </c>
      <c r="B1535" s="6">
        <v>45609</v>
      </c>
      <c r="C1535" s="1" t="str">
        <f>"00038"</f>
        <v>00038</v>
      </c>
      <c r="D153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35" s="1" t="s">
        <v>20</v>
      </c>
      <c r="F153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35" s="1" t="str">
        <f t="shared" si="207"/>
        <v>Фізична особа</v>
      </c>
      <c r="H1535" s="1" t="s">
        <v>20</v>
      </c>
      <c r="I1535" s="1" t="s">
        <v>20</v>
      </c>
      <c r="J1535" s="1" t="str">
        <f t="shared" si="208"/>
        <v>Закрито</v>
      </c>
      <c r="K1535" s="5">
        <v>45609</v>
      </c>
      <c r="L1535" s="1" t="s">
        <v>20</v>
      </c>
      <c r="M1535" s="1" t="s">
        <v>22</v>
      </c>
      <c r="N1535" s="5">
        <v>45609</v>
      </c>
    </row>
    <row r="1536" spans="1:14" x14ac:dyDescent="0.3">
      <c r="A1536" s="1" t="str">
        <f>"12_867-11/2024/Ц"</f>
        <v>12_867-11/2024/Ц</v>
      </c>
      <c r="B1536" s="6">
        <v>45609</v>
      </c>
      <c r="C1536" s="1" t="str">
        <f>"00038"</f>
        <v>00038</v>
      </c>
      <c r="D153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36" s="1" t="s">
        <v>20</v>
      </c>
      <c r="F153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36" s="1" t="str">
        <f t="shared" si="207"/>
        <v>Фізична особа</v>
      </c>
      <c r="H1536" s="1" t="s">
        <v>20</v>
      </c>
      <c r="I1536" s="1" t="s">
        <v>20</v>
      </c>
      <c r="J1536" s="1" t="str">
        <f t="shared" si="208"/>
        <v>Закрито</v>
      </c>
      <c r="K1536" s="5">
        <v>45609</v>
      </c>
      <c r="L1536" s="1" t="s">
        <v>20</v>
      </c>
      <c r="M1536" s="1" t="s">
        <v>22</v>
      </c>
      <c r="N1536" s="5">
        <v>45609</v>
      </c>
    </row>
    <row r="1537" spans="1:14" x14ac:dyDescent="0.3">
      <c r="A1537" s="1" t="str">
        <f>"8_540-11/2024/З"</f>
        <v>8_540-11/2024/З</v>
      </c>
      <c r="B1537" s="6">
        <v>45609</v>
      </c>
      <c r="C1537" s="1" t="str">
        <f>"33"</f>
        <v>33</v>
      </c>
      <c r="D1537" s="2" t="str">
        <f>"33 Довідки різного характеру"</f>
        <v>33 Довідки різного характеру</v>
      </c>
      <c r="E1537" s="1" t="s">
        <v>20</v>
      </c>
      <c r="F153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37" s="1" t="str">
        <f t="shared" si="207"/>
        <v>Фізична особа</v>
      </c>
      <c r="H1537" s="1" t="s">
        <v>20</v>
      </c>
      <c r="I1537" s="1" t="s">
        <v>20</v>
      </c>
      <c r="J1537" s="1" t="str">
        <f t="shared" si="208"/>
        <v>Закрито</v>
      </c>
      <c r="K1537" s="5">
        <v>45609</v>
      </c>
      <c r="L1537" s="1" t="s">
        <v>20</v>
      </c>
      <c r="M1537" s="1" t="s">
        <v>22</v>
      </c>
      <c r="N1537" s="5">
        <v>45609</v>
      </c>
    </row>
    <row r="1538" spans="1:14" x14ac:dyDescent="0.3">
      <c r="A1538" s="1" t="str">
        <f>"2_1952/04054323-11/2024/П"</f>
        <v>2_1952/04054323-11/2024/П</v>
      </c>
      <c r="B1538" s="6">
        <v>45609</v>
      </c>
      <c r="C1538" s="1" t="str">
        <f>"00153"</f>
        <v>00153</v>
      </c>
      <c r="D1538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1538" s="1" t="str">
        <f>"04054323"</f>
        <v>04054323</v>
      </c>
      <c r="F1538" s="1" t="str">
        <f>"Рогатинська міська рада"</f>
        <v>Рогатинська міська рада</v>
      </c>
      <c r="G1538" s="1" t="str">
        <f t="shared" si="207"/>
        <v>Фізична особа</v>
      </c>
      <c r="H1538" s="1" t="s">
        <v>20</v>
      </c>
      <c r="I1538" s="1" t="s">
        <v>20</v>
      </c>
      <c r="J1538" s="1" t="str">
        <f t="shared" si="208"/>
        <v>Закрито</v>
      </c>
      <c r="K1538" s="5">
        <v>45628</v>
      </c>
      <c r="L1538" s="1" t="s">
        <v>20</v>
      </c>
      <c r="M1538" s="1" t="s">
        <v>22</v>
      </c>
      <c r="N1538" s="5">
        <v>45628</v>
      </c>
    </row>
    <row r="1539" spans="1:14" x14ac:dyDescent="0.3">
      <c r="A1539" s="1" t="str">
        <f>"12_868-11/2024/Ж"</f>
        <v>12_868-11/2024/Ж</v>
      </c>
      <c r="B1539" s="6">
        <v>45609</v>
      </c>
      <c r="C1539" s="1" t="str">
        <f>"00038"</f>
        <v>00038</v>
      </c>
      <c r="D153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39" s="1" t="s">
        <v>20</v>
      </c>
      <c r="F153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39" s="1" t="str">
        <f t="shared" si="207"/>
        <v>Фізична особа</v>
      </c>
      <c r="H1539" s="1" t="s">
        <v>20</v>
      </c>
      <c r="I1539" s="1" t="s">
        <v>20</v>
      </c>
      <c r="J1539" s="1" t="str">
        <f t="shared" si="208"/>
        <v>Закрито</v>
      </c>
      <c r="K1539" s="5">
        <v>45609</v>
      </c>
      <c r="L1539" s="1" t="s">
        <v>20</v>
      </c>
      <c r="M1539" s="1" t="s">
        <v>22</v>
      </c>
      <c r="N1539" s="5">
        <v>45609</v>
      </c>
    </row>
    <row r="1540" spans="1:14" x14ac:dyDescent="0.3">
      <c r="A1540" s="1" t="str">
        <f>"12_869-11/2024/Ж"</f>
        <v>12_869-11/2024/Ж</v>
      </c>
      <c r="B1540" s="6">
        <v>45609</v>
      </c>
      <c r="C1540" s="1" t="str">
        <f>"00038"</f>
        <v>00038</v>
      </c>
      <c r="D154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40" s="1" t="s">
        <v>20</v>
      </c>
      <c r="F154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40" s="1" t="str">
        <f t="shared" si="207"/>
        <v>Фізична особа</v>
      </c>
      <c r="H1540" s="1" t="s">
        <v>20</v>
      </c>
      <c r="I1540" s="1" t="s">
        <v>20</v>
      </c>
      <c r="J1540" s="1" t="str">
        <f t="shared" si="208"/>
        <v>Закрито</v>
      </c>
      <c r="K1540" s="5">
        <v>45609</v>
      </c>
      <c r="L1540" s="1" t="s">
        <v>20</v>
      </c>
      <c r="M1540" s="1" t="s">
        <v>22</v>
      </c>
      <c r="N1540" s="5">
        <v>45609</v>
      </c>
    </row>
    <row r="1541" spans="1:14" x14ac:dyDescent="0.3">
      <c r="A1541" s="1" t="str">
        <f>"12_870-11/2024/Ж"</f>
        <v>12_870-11/2024/Ж</v>
      </c>
      <c r="B1541" s="6">
        <v>45609</v>
      </c>
      <c r="C1541" s="1" t="str">
        <f>"00155"</f>
        <v>00155</v>
      </c>
      <c r="D1541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541" s="1" t="str">
        <f>"03193413"</f>
        <v>03193413</v>
      </c>
      <c r="F154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41" s="1" t="str">
        <f t="shared" si="207"/>
        <v>Фізична особа</v>
      </c>
      <c r="H1541" s="1" t="s">
        <v>20</v>
      </c>
      <c r="I1541" s="1" t="s">
        <v>20</v>
      </c>
      <c r="J1541" s="1" t="str">
        <f>"На обробці в СНАП"</f>
        <v>На обробці в СНАП</v>
      </c>
      <c r="K1541" s="1" t="s">
        <v>20</v>
      </c>
      <c r="L1541" s="1" t="s">
        <v>20</v>
      </c>
      <c r="M1541" s="1" t="s">
        <v>22</v>
      </c>
      <c r="N1541" s="1" t="s">
        <v>20</v>
      </c>
    </row>
    <row r="1542" spans="1:14" x14ac:dyDescent="0.3">
      <c r="A1542" s="1" t="str">
        <f>"4_967-11/2024/З"</f>
        <v>4_967-11/2024/З</v>
      </c>
      <c r="B1542" s="6">
        <v>45609</v>
      </c>
      <c r="C1542" s="1" t="str">
        <f>"00155"</f>
        <v>00155</v>
      </c>
      <c r="D1542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542" s="1" t="str">
        <f>"03193413"</f>
        <v>03193413</v>
      </c>
      <c r="F154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42" s="1" t="str">
        <f t="shared" si="207"/>
        <v>Фізична особа</v>
      </c>
      <c r="H1542" s="1" t="s">
        <v>20</v>
      </c>
      <c r="I1542" s="1" t="s">
        <v>20</v>
      </c>
      <c r="J1542" s="1" t="str">
        <f>"Заявника сповіщено про результат"</f>
        <v>Заявника сповіщено про результат</v>
      </c>
      <c r="K1542" s="5">
        <v>45619</v>
      </c>
      <c r="L1542" s="1" t="s">
        <v>20</v>
      </c>
      <c r="M1542" s="1" t="s">
        <v>22</v>
      </c>
      <c r="N1542" s="5">
        <v>45638</v>
      </c>
    </row>
    <row r="1543" spans="1:14" x14ac:dyDescent="0.3">
      <c r="A1543" s="1" t="str">
        <f>"4_968-11/2024/З"</f>
        <v>4_968-11/2024/З</v>
      </c>
      <c r="B1543" s="6">
        <v>45609</v>
      </c>
      <c r="C1543" s="1" t="str">
        <f>"33"</f>
        <v>33</v>
      </c>
      <c r="D1543" s="2" t="str">
        <f>"33 Довідки різного характеру"</f>
        <v>33 Довідки різного характеру</v>
      </c>
      <c r="E1543" s="1" t="s">
        <v>20</v>
      </c>
      <c r="F154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43" s="1" t="str">
        <f t="shared" si="207"/>
        <v>Фізична особа</v>
      </c>
      <c r="H1543" s="1" t="s">
        <v>20</v>
      </c>
      <c r="I1543" s="1" t="s">
        <v>20</v>
      </c>
      <c r="J1543" s="1" t="str">
        <f>"Закрито"</f>
        <v>Закрито</v>
      </c>
      <c r="K1543" s="5">
        <v>45609</v>
      </c>
      <c r="L1543" s="1" t="s">
        <v>20</v>
      </c>
      <c r="M1543" s="1" t="s">
        <v>22</v>
      </c>
      <c r="N1543" s="5">
        <v>45609</v>
      </c>
    </row>
    <row r="1544" spans="1:14" x14ac:dyDescent="0.3">
      <c r="A1544" s="1" t="str">
        <f>"4_969-11/2024/З"</f>
        <v>4_969-11/2024/З</v>
      </c>
      <c r="B1544" s="6">
        <v>45609</v>
      </c>
      <c r="C1544" s="1" t="str">
        <f>"00038"</f>
        <v>00038</v>
      </c>
      <c r="D154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44" s="1" t="s">
        <v>20</v>
      </c>
      <c r="F154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44" s="1" t="str">
        <f t="shared" si="207"/>
        <v>Фізична особа</v>
      </c>
      <c r="H1544" s="1" t="s">
        <v>20</v>
      </c>
      <c r="I1544" s="1" t="s">
        <v>20</v>
      </c>
      <c r="J1544" s="1" t="str">
        <f>"Закрито"</f>
        <v>Закрито</v>
      </c>
      <c r="K1544" s="5">
        <v>45609</v>
      </c>
      <c r="L1544" s="1" t="s">
        <v>20</v>
      </c>
      <c r="M1544" s="1" t="s">
        <v>22</v>
      </c>
      <c r="N1544" s="5">
        <v>45609</v>
      </c>
    </row>
    <row r="1545" spans="1:14" x14ac:dyDescent="0.3">
      <c r="A1545" s="1" t="str">
        <f>"4_970-11/2024/Г"</f>
        <v>4_970-11/2024/Г</v>
      </c>
      <c r="B1545" s="6">
        <v>45609</v>
      </c>
      <c r="C1545" s="1" t="str">
        <f>"00037"</f>
        <v>00037</v>
      </c>
      <c r="D1545" s="2" t="str">
        <f>"Зняття з реєстрації місця проживання"</f>
        <v>Зняття з реєстрації місця проживання</v>
      </c>
      <c r="E1545" s="1" t="s">
        <v>20</v>
      </c>
      <c r="F154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45" s="1" t="str">
        <f t="shared" si="207"/>
        <v>Фізична особа</v>
      </c>
      <c r="H1545" s="1" t="s">
        <v>20</v>
      </c>
      <c r="I1545" s="1" t="s">
        <v>20</v>
      </c>
      <c r="J1545" s="1" t="str">
        <f>"Закрито"</f>
        <v>Закрито</v>
      </c>
      <c r="K1545" s="5">
        <v>45609</v>
      </c>
      <c r="L1545" s="1" t="s">
        <v>20</v>
      </c>
      <c r="M1545" s="1" t="s">
        <v>22</v>
      </c>
      <c r="N1545" s="5">
        <v>45609</v>
      </c>
    </row>
    <row r="1546" spans="1:14" x14ac:dyDescent="0.3">
      <c r="A1546" s="1" t="str">
        <f>"4_971-11/2024/К"</f>
        <v>4_971-11/2024/К</v>
      </c>
      <c r="B1546" s="6">
        <v>45609</v>
      </c>
      <c r="C1546" s="1" t="str">
        <f>"00038"</f>
        <v>00038</v>
      </c>
      <c r="D154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46" s="1" t="s">
        <v>20</v>
      </c>
      <c r="F154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46" s="1" t="str">
        <f t="shared" si="207"/>
        <v>Фізична особа</v>
      </c>
      <c r="H1546" s="1" t="s">
        <v>20</v>
      </c>
      <c r="I1546" s="1" t="s">
        <v>20</v>
      </c>
      <c r="J1546" s="1" t="str">
        <f>"Закрито"</f>
        <v>Закрито</v>
      </c>
      <c r="K1546" s="5">
        <v>45616</v>
      </c>
      <c r="L1546" s="1" t="s">
        <v>20</v>
      </c>
      <c r="M1546" s="1" t="s">
        <v>22</v>
      </c>
      <c r="N1546" s="5">
        <v>45616</v>
      </c>
    </row>
    <row r="1547" spans="1:14" x14ac:dyDescent="0.3">
      <c r="A1547" s="1" t="str">
        <f>"4_972-11/2024/Д"</f>
        <v>4_972-11/2024/Д</v>
      </c>
      <c r="B1547" s="6">
        <v>45609</v>
      </c>
      <c r="C1547" s="1" t="str">
        <f>"33"</f>
        <v>33</v>
      </c>
      <c r="D1547" s="2" t="str">
        <f>"33 Довідки різного характеру"</f>
        <v>33 Довідки різного характеру</v>
      </c>
      <c r="E1547" s="1" t="s">
        <v>20</v>
      </c>
      <c r="F154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47" s="1" t="str">
        <f t="shared" si="207"/>
        <v>Фізична особа</v>
      </c>
      <c r="H1547" s="1" t="s">
        <v>20</v>
      </c>
      <c r="I1547" s="1" t="s">
        <v>20</v>
      </c>
      <c r="J1547" s="1" t="str">
        <f>"Закрито"</f>
        <v>Закрито</v>
      </c>
      <c r="K1547" s="1" t="s">
        <v>20</v>
      </c>
      <c r="L1547" s="1" t="s">
        <v>20</v>
      </c>
      <c r="M1547" s="1" t="s">
        <v>22</v>
      </c>
      <c r="N1547" s="1" t="s">
        <v>20</v>
      </c>
    </row>
    <row r="1548" spans="1:14" x14ac:dyDescent="0.3">
      <c r="A1548" s="1" t="str">
        <f>"4_973-11/2024/К"</f>
        <v>4_973-11/2024/К</v>
      </c>
      <c r="B1548" s="6">
        <v>45609</v>
      </c>
      <c r="C1548" s="1" t="str">
        <f>"00155"</f>
        <v>00155</v>
      </c>
      <c r="D1548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548" s="1" t="str">
        <f>"03193413"</f>
        <v>03193413</v>
      </c>
      <c r="F154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48" s="1" t="str">
        <f t="shared" si="207"/>
        <v>Фізична особа</v>
      </c>
      <c r="H1548" s="1" t="s">
        <v>20</v>
      </c>
      <c r="I1548" s="1" t="s">
        <v>20</v>
      </c>
      <c r="J1548" s="1" t="str">
        <f>"Заявника сповіщено про результат"</f>
        <v>Заявника сповіщено про результат</v>
      </c>
      <c r="K1548" s="5">
        <v>45619</v>
      </c>
      <c r="L1548" s="1" t="s">
        <v>20</v>
      </c>
      <c r="M1548" s="1" t="s">
        <v>22</v>
      </c>
      <c r="N1548" s="5">
        <v>45639</v>
      </c>
    </row>
    <row r="1549" spans="1:14" x14ac:dyDescent="0.3">
      <c r="A1549" s="1" t="str">
        <f>"1_5827/2129-11/2024/І"</f>
        <v>1_5827/2129-11/2024/І</v>
      </c>
      <c r="B1549" s="6">
        <v>45610</v>
      </c>
      <c r="C1549" s="1" t="str">
        <f>"00037"</f>
        <v>00037</v>
      </c>
      <c r="D1549" s="2" t="str">
        <f>"Зняття з реєстрації місця проживання"</f>
        <v>Зняття з реєстрації місця проживання</v>
      </c>
      <c r="E1549" s="1" t="s">
        <v>20</v>
      </c>
      <c r="F154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49" s="1" t="str">
        <f>"Юридична особа"</f>
        <v>Юридична особа</v>
      </c>
      <c r="H1549" s="1" t="str">
        <f>"Івано-Франківська територіальна громада"</f>
        <v>Івано-Франківська територіальна громада</v>
      </c>
      <c r="I1549" s="1" t="s">
        <v>20</v>
      </c>
      <c r="J1549" s="1" t="str">
        <f>"Закрито"</f>
        <v>Закрито</v>
      </c>
      <c r="K1549" s="6">
        <v>45610</v>
      </c>
      <c r="L1549" s="1" t="s">
        <v>20</v>
      </c>
      <c r="M1549" s="1" t="s">
        <v>22</v>
      </c>
      <c r="N1549" s="5">
        <v>45610</v>
      </c>
    </row>
    <row r="1550" spans="1:14" x14ac:dyDescent="0.3">
      <c r="A1550" s="1" t="str">
        <f>"1_5828/2129-11/2024/К"</f>
        <v>1_5828/2129-11/2024/К</v>
      </c>
      <c r="B1550" s="6">
        <v>45610</v>
      </c>
      <c r="C1550" s="1" t="str">
        <f>"00034"</f>
        <v>00034</v>
      </c>
      <c r="D1550" s="2" t="str">
        <f>"Реєстрація місця проживання"</f>
        <v>Реєстрація місця проживання</v>
      </c>
      <c r="E1550" s="1" t="s">
        <v>20</v>
      </c>
      <c r="F155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50" s="1" t="str">
        <f t="shared" ref="G1550:G1559" si="211">"Фізична особа"</f>
        <v>Фізична особа</v>
      </c>
      <c r="H1550" s="1" t="s">
        <v>20</v>
      </c>
      <c r="I1550" s="1" t="s">
        <v>20</v>
      </c>
      <c r="J1550" s="1" t="str">
        <f>"Закрито"</f>
        <v>Закрито</v>
      </c>
      <c r="K1550" s="6">
        <v>45610</v>
      </c>
      <c r="L1550" s="1" t="str">
        <f>"45.42"</f>
        <v>45.42</v>
      </c>
      <c r="M1550" s="1" t="s">
        <v>22</v>
      </c>
      <c r="N1550" s="5">
        <v>45610</v>
      </c>
    </row>
    <row r="1551" spans="1:14" x14ac:dyDescent="0.3">
      <c r="A1551" s="1" t="str">
        <f>"1_5829/2129-11/2024/К"</f>
        <v>1_5829/2129-11/2024/К</v>
      </c>
      <c r="B1551" s="6">
        <v>45610</v>
      </c>
      <c r="C1551" s="1" t="str">
        <f>"00038"</f>
        <v>00038</v>
      </c>
      <c r="D155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51" s="1" t="s">
        <v>20</v>
      </c>
      <c r="F15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51" s="1" t="str">
        <f t="shared" si="211"/>
        <v>Фізична особа</v>
      </c>
      <c r="H1551" s="1" t="s">
        <v>20</v>
      </c>
      <c r="I1551" s="1" t="s">
        <v>20</v>
      </c>
      <c r="J1551" s="1" t="str">
        <f>"Закрито"</f>
        <v>Закрито</v>
      </c>
      <c r="K1551" s="6">
        <v>45610</v>
      </c>
      <c r="L1551" s="1" t="s">
        <v>20</v>
      </c>
      <c r="M1551" s="1" t="s">
        <v>22</v>
      </c>
      <c r="N1551" s="5">
        <v>45610</v>
      </c>
    </row>
    <row r="1552" spans="1:14" x14ac:dyDescent="0.3">
      <c r="A1552" s="1" t="str">
        <f>"9_1653/04054323-11/2024/Д"</f>
        <v>9_1653/04054323-11/2024/Д</v>
      </c>
      <c r="B1552" s="6">
        <v>45610</v>
      </c>
      <c r="C1552" s="1" t="str">
        <f>"01-1"</f>
        <v>01-1</v>
      </c>
      <c r="D1552" s="2" t="s">
        <v>0</v>
      </c>
      <c r="E1552" s="1" t="str">
        <f>"04054323"</f>
        <v>04054323</v>
      </c>
      <c r="F1552" s="1" t="str">
        <f>"Рогатинська міська рада"</f>
        <v>Рогатинська міська рада</v>
      </c>
      <c r="G1552" s="1" t="str">
        <f t="shared" si="211"/>
        <v>Фізична особа</v>
      </c>
      <c r="H1552" s="1" t="s">
        <v>20</v>
      </c>
      <c r="I1552" s="1" t="s">
        <v>20</v>
      </c>
      <c r="J1552" s="1" t="str">
        <f>"На обробці в СНАП"</f>
        <v>На обробці в СНАП</v>
      </c>
      <c r="K1552" s="1" t="s">
        <v>20</v>
      </c>
      <c r="L1552" s="1" t="s">
        <v>20</v>
      </c>
      <c r="M1552" s="1" t="s">
        <v>22</v>
      </c>
      <c r="N1552" s="1" t="s">
        <v>20</v>
      </c>
    </row>
    <row r="1553" spans="1:14" x14ac:dyDescent="0.3">
      <c r="A1553" s="1" t="str">
        <f>"1_5830/2129-11/2024/К"</f>
        <v>1_5830/2129-11/2024/К</v>
      </c>
      <c r="B1553" s="6">
        <v>45610</v>
      </c>
      <c r="C1553" s="1" t="str">
        <f>"00034"</f>
        <v>00034</v>
      </c>
      <c r="D1553" s="2" t="str">
        <f>"Реєстрація місця проживання"</f>
        <v>Реєстрація місця проживання</v>
      </c>
      <c r="E1553" s="1" t="s">
        <v>20</v>
      </c>
      <c r="F15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53" s="1" t="str">
        <f t="shared" si="211"/>
        <v>Фізична особа</v>
      </c>
      <c r="H1553" s="1" t="s">
        <v>20</v>
      </c>
      <c r="I1553" s="1" t="s">
        <v>20</v>
      </c>
      <c r="J1553" s="1" t="str">
        <f>"Закрито"</f>
        <v>Закрито</v>
      </c>
      <c r="K1553" s="6">
        <v>45610</v>
      </c>
      <c r="L1553" s="1" t="str">
        <f>"45.42"</f>
        <v>45.42</v>
      </c>
      <c r="M1553" s="1" t="s">
        <v>22</v>
      </c>
      <c r="N1553" s="5">
        <v>45610</v>
      </c>
    </row>
    <row r="1554" spans="1:14" x14ac:dyDescent="0.3">
      <c r="A1554" s="1" t="str">
        <f>"1_5831/2129-11/2024/К"</f>
        <v>1_5831/2129-11/2024/К</v>
      </c>
      <c r="B1554" s="6">
        <v>45610</v>
      </c>
      <c r="C1554" s="1" t="str">
        <f>"00038"</f>
        <v>00038</v>
      </c>
      <c r="D155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54" s="1" t="s">
        <v>20</v>
      </c>
      <c r="F155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54" s="1" t="str">
        <f t="shared" si="211"/>
        <v>Фізична особа</v>
      </c>
      <c r="H1554" s="1" t="s">
        <v>20</v>
      </c>
      <c r="I1554" s="1" t="s">
        <v>20</v>
      </c>
      <c r="J1554" s="1" t="str">
        <f>"Закрито"</f>
        <v>Закрито</v>
      </c>
      <c r="K1554" s="6">
        <v>45610</v>
      </c>
      <c r="L1554" s="1" t="s">
        <v>20</v>
      </c>
      <c r="M1554" s="1" t="s">
        <v>22</v>
      </c>
      <c r="N1554" s="5">
        <v>45610</v>
      </c>
    </row>
    <row r="1555" spans="1:14" x14ac:dyDescent="0.3">
      <c r="A1555" s="1" t="str">
        <f>"1_5832/2129-11/2024/Ч"</f>
        <v>1_5832/2129-11/2024/Ч</v>
      </c>
      <c r="B1555" s="6">
        <v>45610</v>
      </c>
      <c r="C1555" s="1" t="str">
        <f>"00038"</f>
        <v>00038</v>
      </c>
      <c r="D155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55" s="1" t="s">
        <v>20</v>
      </c>
      <c r="F155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55" s="1" t="str">
        <f t="shared" si="211"/>
        <v>Фізична особа</v>
      </c>
      <c r="H1555" s="1" t="s">
        <v>20</v>
      </c>
      <c r="I1555" s="1" t="s">
        <v>20</v>
      </c>
      <c r="J1555" s="1" t="str">
        <f>"Закрито"</f>
        <v>Закрито</v>
      </c>
      <c r="K1555" s="6">
        <v>45610</v>
      </c>
      <c r="L1555" s="1" t="s">
        <v>20</v>
      </c>
      <c r="M1555" s="1" t="s">
        <v>22</v>
      </c>
      <c r="N1555" s="5">
        <v>45610</v>
      </c>
    </row>
    <row r="1556" spans="1:14" x14ac:dyDescent="0.3">
      <c r="A1556" s="1" t="str">
        <f>"6_342/2129-11/2024/Г"</f>
        <v>6_342/2129-11/2024/Г</v>
      </c>
      <c r="B1556" s="6">
        <v>45610</v>
      </c>
      <c r="C1556" s="1" t="str">
        <f>"01376"</f>
        <v>01376</v>
      </c>
      <c r="D1556" s="2" t="str">
        <f>"Реєстрація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(СС1)"</f>
        <v>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</v>
      </c>
      <c r="E1556" s="1" t="s">
        <v>20</v>
      </c>
      <c r="F155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56" s="1" t="str">
        <f t="shared" si="211"/>
        <v>Фізична особа</v>
      </c>
      <c r="H1556" s="1" t="s">
        <v>20</v>
      </c>
      <c r="I1556" s="1" t="s">
        <v>20</v>
      </c>
      <c r="J1556" s="1" t="str">
        <f>"Закрито"</f>
        <v>Закрито</v>
      </c>
      <c r="K1556" s="5">
        <v>45611</v>
      </c>
      <c r="L1556" s="1" t="s">
        <v>20</v>
      </c>
      <c r="M1556" s="1" t="s">
        <v>22</v>
      </c>
      <c r="N1556" s="5">
        <v>45611</v>
      </c>
    </row>
    <row r="1557" spans="1:14" x14ac:dyDescent="0.3">
      <c r="A1557" s="1" t="str">
        <f>"9_1654/04054323-11/2024/Р"</f>
        <v>9_1654/04054323-11/2024/Р</v>
      </c>
      <c r="B1557" s="6">
        <v>45610</v>
      </c>
      <c r="C1557" s="1" t="str">
        <f>"01-2"</f>
        <v>01-2</v>
      </c>
      <c r="D1557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виробництва"</f>
        <v>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</v>
      </c>
      <c r="E1557" s="1" t="str">
        <f>"04054323"</f>
        <v>04054323</v>
      </c>
      <c r="F1557" s="1" t="str">
        <f>"Рогатинська міська рада"</f>
        <v>Рогатинська міська рада</v>
      </c>
      <c r="G1557" s="1" t="str">
        <f t="shared" si="211"/>
        <v>Фізична особа</v>
      </c>
      <c r="H1557" s="1" t="s">
        <v>20</v>
      </c>
      <c r="I1557" s="1" t="s">
        <v>20</v>
      </c>
      <c r="J1557" s="1" t="str">
        <f>"На обробці в СНАП"</f>
        <v>На обробці в СНАП</v>
      </c>
      <c r="K1557" s="1" t="s">
        <v>20</v>
      </c>
      <c r="L1557" s="1" t="s">
        <v>20</v>
      </c>
      <c r="M1557" s="1" t="s">
        <v>22</v>
      </c>
      <c r="N1557" s="1" t="s">
        <v>20</v>
      </c>
    </row>
    <row r="1558" spans="1:14" x14ac:dyDescent="0.3">
      <c r="A1558" s="1" t="str">
        <f>"3_1367/4-11/2024/К"</f>
        <v>3_1367/4-11/2024/К</v>
      </c>
      <c r="B1558" s="6">
        <v>45610</v>
      </c>
      <c r="C1558" s="1" t="str">
        <f>"00060"</f>
        <v>00060</v>
      </c>
      <c r="D1558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558" s="1" t="s">
        <v>20</v>
      </c>
      <c r="F1558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558" s="1" t="str">
        <f t="shared" si="211"/>
        <v>Фізична особа</v>
      </c>
      <c r="H1558" s="1" t="s">
        <v>20</v>
      </c>
      <c r="I1558" s="1" t="s">
        <v>20</v>
      </c>
      <c r="J1558" s="1" t="str">
        <f>"Результат підготовлено СНАП"</f>
        <v>Результат підготовлено СНАП</v>
      </c>
      <c r="K1558" s="5">
        <v>45614</v>
      </c>
      <c r="L1558" s="1" t="str">
        <f>"151.4"</f>
        <v>151.4</v>
      </c>
      <c r="M1558" s="1" t="s">
        <v>22</v>
      </c>
      <c r="N1558" s="1" t="s">
        <v>20</v>
      </c>
    </row>
    <row r="1559" spans="1:14" x14ac:dyDescent="0.3">
      <c r="A1559" s="1" t="str">
        <f>"4_1273/03193413-11/2024/З"</f>
        <v>4_1273/03193413-11/2024/З</v>
      </c>
      <c r="B1559" s="6">
        <v>45610</v>
      </c>
      <c r="C1559" s="1" t="str">
        <f>"001040"</f>
        <v>001040</v>
      </c>
      <c r="D1559" s="2" t="str">
        <f>"Надання допомоги на проживання внутрішньо переміщеним особам"</f>
        <v>Надання допомоги на проживання внутрішньо переміщеним особам</v>
      </c>
      <c r="E1559" s="1" t="str">
        <f>"03193413"</f>
        <v>03193413</v>
      </c>
      <c r="F155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59" s="1" t="str">
        <f t="shared" si="211"/>
        <v>Фізична особа</v>
      </c>
      <c r="H1559" s="1" t="s">
        <v>20</v>
      </c>
      <c r="I1559" s="1" t="s">
        <v>20</v>
      </c>
      <c r="J1559" s="1" t="str">
        <f>"Закрито"</f>
        <v>Закрито</v>
      </c>
      <c r="K1559" s="5">
        <v>45629</v>
      </c>
      <c r="L1559" s="1" t="s">
        <v>20</v>
      </c>
      <c r="M1559" s="1" t="s">
        <v>22</v>
      </c>
      <c r="N1559" s="5">
        <v>45629</v>
      </c>
    </row>
    <row r="1560" spans="1:14" x14ac:dyDescent="0.3">
      <c r="A1560" s="1" t="str">
        <f>"6_343/04054323-11/2024/Д"</f>
        <v>6_343/04054323-11/2024/Д</v>
      </c>
      <c r="B1560" s="6">
        <v>45610</v>
      </c>
      <c r="C1560" s="1" t="str">
        <f>""</f>
        <v/>
      </c>
      <c r="D1560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560" s="1" t="str">
        <f>"04054323"</f>
        <v>04054323</v>
      </c>
      <c r="F1560" s="1" t="str">
        <f>"Рогатинська міська рада"</f>
        <v>Рогатинська міська рада</v>
      </c>
      <c r="G1560" s="1" t="str">
        <f>"Юридична особа"</f>
        <v>Юридична особа</v>
      </c>
      <c r="H1560" s="1" t="str">
        <f>"ДП ""РОГАТИН-ВОДОКАНАЛ"""</f>
        <v>ДП "РОГАТИН-ВОДОКАНАЛ"</v>
      </c>
      <c r="I1560" s="1" t="str">
        <f>"31619337"</f>
        <v>31619337</v>
      </c>
      <c r="J1560" s="1" t="str">
        <f>"Закрито"</f>
        <v>Закрито</v>
      </c>
      <c r="K1560" s="5">
        <v>45611</v>
      </c>
      <c r="L1560" s="1" t="s">
        <v>20</v>
      </c>
      <c r="M1560" s="1" t="s">
        <v>22</v>
      </c>
      <c r="N1560" s="5">
        <v>45611</v>
      </c>
    </row>
    <row r="1561" spans="1:14" x14ac:dyDescent="0.3">
      <c r="A1561" s="1" t="str">
        <f>"3_1368/4-11/2024/К"</f>
        <v>3_1368/4-11/2024/К</v>
      </c>
      <c r="B1561" s="6">
        <v>45610</v>
      </c>
      <c r="C1561" s="1" t="str">
        <f>"00060"</f>
        <v>00060</v>
      </c>
      <c r="D1561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561" s="1" t="s">
        <v>20</v>
      </c>
      <c r="F1561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561" s="1" t="str">
        <f>"Фізична особа"</f>
        <v>Фізична особа</v>
      </c>
      <c r="H1561" s="1" t="s">
        <v>20</v>
      </c>
      <c r="I1561" s="1" t="s">
        <v>20</v>
      </c>
      <c r="J1561" s="1" t="str">
        <f>"Результат підготовлено СНАП"</f>
        <v>Результат підготовлено СНАП</v>
      </c>
      <c r="K1561" s="5">
        <v>45614</v>
      </c>
      <c r="L1561" s="1" t="str">
        <f>"151.4"</f>
        <v>151.4</v>
      </c>
      <c r="M1561" s="1" t="s">
        <v>22</v>
      </c>
      <c r="N1561" s="1" t="s">
        <v>20</v>
      </c>
    </row>
    <row r="1562" spans="1:14" x14ac:dyDescent="0.3">
      <c r="A1562" s="1" t="str">
        <f>"6_344/04054323-11/2024/Д"</f>
        <v>6_344/04054323-11/2024/Д</v>
      </c>
      <c r="B1562" s="6">
        <v>45610</v>
      </c>
      <c r="C1562" s="1" t="str">
        <f>""</f>
        <v/>
      </c>
      <c r="D1562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562" s="1" t="str">
        <f>"04054323"</f>
        <v>04054323</v>
      </c>
      <c r="F1562" s="1" t="str">
        <f>"Рогатинська міська рада"</f>
        <v>Рогатинська міська рада</v>
      </c>
      <c r="G1562" s="1" t="str">
        <f>"Юридична особа"</f>
        <v>Юридична особа</v>
      </c>
      <c r="H1562" s="1" t="str">
        <f>"ДП ""РОГАТИН-ВОДОКАНАЛ"""</f>
        <v>ДП "РОГАТИН-ВОДОКАНАЛ"</v>
      </c>
      <c r="I1562" s="1" t="str">
        <f>"31619337"</f>
        <v>31619337</v>
      </c>
      <c r="J1562" s="1" t="str">
        <f>"Закрито"</f>
        <v>Закрито</v>
      </c>
      <c r="K1562" s="5">
        <v>45611</v>
      </c>
      <c r="L1562" s="1" t="s">
        <v>20</v>
      </c>
      <c r="M1562" s="1" t="s">
        <v>22</v>
      </c>
      <c r="N1562" s="5">
        <v>45611</v>
      </c>
    </row>
    <row r="1563" spans="1:14" x14ac:dyDescent="0.3">
      <c r="A1563" s="1" t="str">
        <f>"28_643-11/2024/К"</f>
        <v>28_643-11/2024/К</v>
      </c>
      <c r="B1563" s="6">
        <v>45610</v>
      </c>
      <c r="C1563" s="1" t="str">
        <f>"01194"</f>
        <v>01194</v>
      </c>
      <c r="D1563" s="2" t="str">
        <f>"Видача дубліката посвідчення батьків багатодітної сім’ї та дитини з багатодітної сім'ї"</f>
        <v>Видача дубліката посвідчення батьків багатодітної сім’ї та дитини з багатодітної сім'ї</v>
      </c>
      <c r="E1563" s="1" t="str">
        <f>"03193413"</f>
        <v>03193413</v>
      </c>
      <c r="F156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63" s="1" t="str">
        <f>"Фізична особа"</f>
        <v>Фізична особа</v>
      </c>
      <c r="H1563" s="1" t="s">
        <v>20</v>
      </c>
      <c r="I1563" s="1" t="s">
        <v>20</v>
      </c>
      <c r="J1563" s="1" t="str">
        <f>"На обробці в СНАП"</f>
        <v>На обробці в СНАП</v>
      </c>
      <c r="K1563" s="1" t="s">
        <v>20</v>
      </c>
      <c r="L1563" s="1" t="s">
        <v>20</v>
      </c>
      <c r="M1563" s="1" t="s">
        <v>22</v>
      </c>
      <c r="N1563" s="1" t="s">
        <v>20</v>
      </c>
    </row>
    <row r="1564" spans="1:14" x14ac:dyDescent="0.3">
      <c r="A1564" s="1" t="str">
        <f>"6_345/04054323-11/2024/Д"</f>
        <v>6_345/04054323-11/2024/Д</v>
      </c>
      <c r="B1564" s="6">
        <v>45610</v>
      </c>
      <c r="C1564" s="1" t="str">
        <f>""</f>
        <v/>
      </c>
      <c r="D1564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564" s="1" t="str">
        <f>"04054323"</f>
        <v>04054323</v>
      </c>
      <c r="F1564" s="1" t="str">
        <f>"Рогатинська міська рада"</f>
        <v>Рогатинська міська рада</v>
      </c>
      <c r="G1564" s="1" t="str">
        <f>"Юридична особа"</f>
        <v>Юридична особа</v>
      </c>
      <c r="H1564" s="1" t="str">
        <f>"ДП ""РОГАТИН-ВОДОКАНАЛ"""</f>
        <v>ДП "РОГАТИН-ВОДОКАНАЛ"</v>
      </c>
      <c r="I1564" s="1" t="str">
        <f>"31619337"</f>
        <v>31619337</v>
      </c>
      <c r="J1564" s="1" t="str">
        <f>"Закрито"</f>
        <v>Закрито</v>
      </c>
      <c r="K1564" s="5">
        <v>45611</v>
      </c>
      <c r="L1564" s="1" t="s">
        <v>20</v>
      </c>
      <c r="M1564" s="1" t="s">
        <v>22</v>
      </c>
      <c r="N1564" s="5">
        <v>45611</v>
      </c>
    </row>
    <row r="1565" spans="1:14" x14ac:dyDescent="0.3">
      <c r="A1565" s="1" t="str">
        <f>"6_346/04054323-11/2024/Д"</f>
        <v>6_346/04054323-11/2024/Д</v>
      </c>
      <c r="B1565" s="6">
        <v>45610</v>
      </c>
      <c r="C1565" s="1" t="str">
        <f>""</f>
        <v/>
      </c>
      <c r="D1565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565" s="1" t="str">
        <f>"04054323"</f>
        <v>04054323</v>
      </c>
      <c r="F1565" s="1" t="str">
        <f>"Рогатинська міська рада"</f>
        <v>Рогатинська міська рада</v>
      </c>
      <c r="G1565" s="1" t="str">
        <f>"Юридична особа"</f>
        <v>Юридична особа</v>
      </c>
      <c r="H1565" s="1" t="str">
        <f>"ДП ""РОГАТИН-ВОДОКАНАЛ"""</f>
        <v>ДП "РОГАТИН-ВОДОКАНАЛ"</v>
      </c>
      <c r="I1565" s="1" t="str">
        <f>"31619337"</f>
        <v>31619337</v>
      </c>
      <c r="J1565" s="1" t="str">
        <f>"Зареєстрований"</f>
        <v>Зареєстрований</v>
      </c>
      <c r="K1565" s="1" t="s">
        <v>20</v>
      </c>
      <c r="L1565" s="1" t="s">
        <v>20</v>
      </c>
      <c r="M1565" s="1" t="s">
        <v>22</v>
      </c>
      <c r="N1565" s="1" t="s">
        <v>20</v>
      </c>
    </row>
    <row r="1566" spans="1:14" x14ac:dyDescent="0.3">
      <c r="A1566" s="1" t="str">
        <f>"4_1274/03193413-11/2024/П"</f>
        <v>4_1274/03193413-11/2024/П</v>
      </c>
      <c r="B1566" s="6">
        <v>45610</v>
      </c>
      <c r="C1566" s="1" t="str">
        <f>"00139"</f>
        <v>00139</v>
      </c>
      <c r="D1566" s="2" t="str">
        <f>"Прийняття рішення про надання соціальних послуг"</f>
        <v>Прийняття рішення про надання соціальних послуг</v>
      </c>
      <c r="E1566" s="1" t="str">
        <f>"03193413"</f>
        <v>03193413</v>
      </c>
      <c r="F156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66" s="1" t="str">
        <f>"Фізична особа"</f>
        <v>Фізична особа</v>
      </c>
      <c r="H1566" s="1" t="s">
        <v>20</v>
      </c>
      <c r="I1566" s="1" t="s">
        <v>20</v>
      </c>
      <c r="J1566" s="1" t="str">
        <f t="shared" ref="J1566:J1589" si="212">"Закрито"</f>
        <v>Закрито</v>
      </c>
      <c r="K1566" s="5">
        <v>45629</v>
      </c>
      <c r="L1566" s="1" t="s">
        <v>20</v>
      </c>
      <c r="M1566" s="1" t="s">
        <v>22</v>
      </c>
      <c r="N1566" s="5">
        <v>45629</v>
      </c>
    </row>
    <row r="1567" spans="1:14" x14ac:dyDescent="0.3">
      <c r="A1567" s="1" t="str">
        <f>"4_1275/03193413-11/2024/П"</f>
        <v>4_1275/03193413-11/2024/П</v>
      </c>
      <c r="B1567" s="6">
        <v>45610</v>
      </c>
      <c r="C1567" s="1" t="str">
        <f>"00139"</f>
        <v>00139</v>
      </c>
      <c r="D1567" s="2" t="str">
        <f>"Прийняття рішення про надання соціальних послуг"</f>
        <v>Прийняття рішення про надання соціальних послуг</v>
      </c>
      <c r="E1567" s="1" t="str">
        <f>"03193413"</f>
        <v>03193413</v>
      </c>
      <c r="F156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67" s="1" t="str">
        <f>"Фізична особа"</f>
        <v>Фізична особа</v>
      </c>
      <c r="H1567" s="1" t="s">
        <v>20</v>
      </c>
      <c r="I1567" s="1" t="s">
        <v>20</v>
      </c>
      <c r="J1567" s="1" t="str">
        <f t="shared" si="212"/>
        <v>Закрито</v>
      </c>
      <c r="K1567" s="5">
        <v>45629</v>
      </c>
      <c r="L1567" s="1" t="s">
        <v>20</v>
      </c>
      <c r="M1567" s="1" t="s">
        <v>22</v>
      </c>
      <c r="N1567" s="5">
        <v>45629</v>
      </c>
    </row>
    <row r="1568" spans="1:14" x14ac:dyDescent="0.3">
      <c r="A1568" s="1" t="str">
        <f>"24_336-11/2024/С"</f>
        <v>24_336-11/2024/С</v>
      </c>
      <c r="B1568" s="6">
        <v>45610</v>
      </c>
      <c r="C1568" s="1" t="str">
        <f>"00038"</f>
        <v>00038</v>
      </c>
      <c r="D156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68" s="1" t="s">
        <v>20</v>
      </c>
      <c r="F156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68" s="1" t="str">
        <f>"Фізична особа"</f>
        <v>Фізична особа</v>
      </c>
      <c r="H1568" s="1" t="s">
        <v>20</v>
      </c>
      <c r="I1568" s="1" t="s">
        <v>20</v>
      </c>
      <c r="J1568" s="1" t="str">
        <f t="shared" si="212"/>
        <v>Закрито</v>
      </c>
      <c r="K1568" s="5">
        <v>45610</v>
      </c>
      <c r="L1568" s="1" t="s">
        <v>20</v>
      </c>
      <c r="M1568" s="1" t="s">
        <v>22</v>
      </c>
      <c r="N1568" s="5">
        <v>45610</v>
      </c>
    </row>
    <row r="1569" spans="1:14" x14ac:dyDescent="0.3">
      <c r="A1569" s="1" t="str">
        <f>"6_347/04054323-11/2024/Д"</f>
        <v>6_347/04054323-11/2024/Д</v>
      </c>
      <c r="B1569" s="6">
        <v>45610</v>
      </c>
      <c r="C1569" s="1" t="str">
        <f>""</f>
        <v/>
      </c>
      <c r="D1569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569" s="1" t="str">
        <f>"04054323"</f>
        <v>04054323</v>
      </c>
      <c r="F1569" s="1" t="str">
        <f>"Рогатинська міська рада"</f>
        <v>Рогатинська міська рада</v>
      </c>
      <c r="G1569" s="1" t="str">
        <f>"Юридична особа"</f>
        <v>Юридична особа</v>
      </c>
      <c r="H1569" s="1" t="str">
        <f>"ДП ""РОГАТИН-ВОДОКАНАЛ"""</f>
        <v>ДП "РОГАТИН-ВОДОКАНАЛ"</v>
      </c>
      <c r="I1569" s="1" t="str">
        <f>"31419337"</f>
        <v>31419337</v>
      </c>
      <c r="J1569" s="1" t="str">
        <f t="shared" si="212"/>
        <v>Закрито</v>
      </c>
      <c r="K1569" s="5">
        <v>45611</v>
      </c>
      <c r="L1569" s="1" t="s">
        <v>20</v>
      </c>
      <c r="M1569" s="1" t="s">
        <v>22</v>
      </c>
      <c r="N1569" s="5">
        <v>45611</v>
      </c>
    </row>
    <row r="1570" spans="1:14" x14ac:dyDescent="0.3">
      <c r="A1570" s="1" t="str">
        <f>"8_73/04054323-11/2024/Д"</f>
        <v>8_73/04054323-11/2024/Д</v>
      </c>
      <c r="B1570" s="6">
        <v>45610</v>
      </c>
      <c r="C1570" s="1" t="str">
        <f>""</f>
        <v/>
      </c>
      <c r="D1570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570" s="1" t="str">
        <f>"04054323"</f>
        <v>04054323</v>
      </c>
      <c r="F1570" s="1" t="str">
        <f>"Рогатинська міська рада"</f>
        <v>Рогатинська міська рада</v>
      </c>
      <c r="G1570" s="1" t="str">
        <f>"Юридична особа"</f>
        <v>Юридична особа</v>
      </c>
      <c r="H1570" s="1" t="str">
        <f>"ДП ""РОГАТИН-ВОДОКАНАЛ"""</f>
        <v>ДП "РОГАТИН-ВОДОКАНАЛ"</v>
      </c>
      <c r="I1570" s="1" t="str">
        <f>"31419337"</f>
        <v>31419337</v>
      </c>
      <c r="J1570" s="1" t="str">
        <f t="shared" si="212"/>
        <v>Закрито</v>
      </c>
      <c r="K1570" s="5">
        <v>45611</v>
      </c>
      <c r="L1570" s="1" t="s">
        <v>20</v>
      </c>
      <c r="M1570" s="1" t="s">
        <v>22</v>
      </c>
      <c r="N1570" s="5">
        <v>45611</v>
      </c>
    </row>
    <row r="1571" spans="1:14" x14ac:dyDescent="0.3">
      <c r="A1571" s="1" t="str">
        <f>"6_348/04054323-11/2024/Д"</f>
        <v>6_348/04054323-11/2024/Д</v>
      </c>
      <c r="B1571" s="6">
        <v>45610</v>
      </c>
      <c r="C1571" s="1" t="str">
        <f>""</f>
        <v/>
      </c>
      <c r="D1571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571" s="1" t="str">
        <f>"04054323"</f>
        <v>04054323</v>
      </c>
      <c r="F1571" s="1" t="str">
        <f>"Рогатинська міська рада"</f>
        <v>Рогатинська міська рада</v>
      </c>
      <c r="G1571" s="1" t="str">
        <f>"Юридична особа"</f>
        <v>Юридична особа</v>
      </c>
      <c r="H1571" s="1" t="str">
        <f>"ДП ""РОГАТИН-ВОДОКАНАЛ"""</f>
        <v>ДП "РОГАТИН-ВОДОКАНАЛ"</v>
      </c>
      <c r="I1571" s="1" t="str">
        <f>"31419337"</f>
        <v>31419337</v>
      </c>
      <c r="J1571" s="1" t="str">
        <f t="shared" si="212"/>
        <v>Закрито</v>
      </c>
      <c r="K1571" s="5">
        <v>45611</v>
      </c>
      <c r="L1571" s="1" t="s">
        <v>20</v>
      </c>
      <c r="M1571" s="1" t="s">
        <v>22</v>
      </c>
      <c r="N1571" s="5">
        <v>45611</v>
      </c>
    </row>
    <row r="1572" spans="1:14" x14ac:dyDescent="0.3">
      <c r="A1572" s="1" t="str">
        <f>"6_349/04054323-11/2024/Д"</f>
        <v>6_349/04054323-11/2024/Д</v>
      </c>
      <c r="B1572" s="6">
        <v>45610</v>
      </c>
      <c r="C1572" s="1" t="str">
        <f>""</f>
        <v/>
      </c>
      <c r="D1572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572" s="1" t="str">
        <f>"04054323"</f>
        <v>04054323</v>
      </c>
      <c r="F1572" s="1" t="str">
        <f>"Рогатинська міська рада"</f>
        <v>Рогатинська міська рада</v>
      </c>
      <c r="G1572" s="1" t="str">
        <f>"Юридична особа"</f>
        <v>Юридична особа</v>
      </c>
      <c r="H1572" s="1" t="str">
        <f>"ДП ""РОГАТИН-ВОДОКАНАЛ"""</f>
        <v>ДП "РОГАТИН-ВОДОКАНАЛ"</v>
      </c>
      <c r="I1572" s="1" t="str">
        <f>"31419337"</f>
        <v>31419337</v>
      </c>
      <c r="J1572" s="1" t="str">
        <f t="shared" si="212"/>
        <v>Закрито</v>
      </c>
      <c r="K1572" s="5">
        <v>45611</v>
      </c>
      <c r="L1572" s="1" t="s">
        <v>20</v>
      </c>
      <c r="M1572" s="1" t="s">
        <v>22</v>
      </c>
      <c r="N1572" s="5">
        <v>45611</v>
      </c>
    </row>
    <row r="1573" spans="1:14" x14ac:dyDescent="0.3">
      <c r="A1573" s="1" t="str">
        <f>"12_871-11/2024/М"</f>
        <v>12_871-11/2024/М</v>
      </c>
      <c r="B1573" s="6">
        <v>45610</v>
      </c>
      <c r="C1573" s="1" t="str">
        <f>"00038"</f>
        <v>00038</v>
      </c>
      <c r="D157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73" s="1" t="s">
        <v>20</v>
      </c>
      <c r="F157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73" s="1" t="str">
        <f t="shared" ref="G1573:G1588" si="213">"Фізична особа"</f>
        <v>Фізична особа</v>
      </c>
      <c r="H1573" s="1" t="s">
        <v>20</v>
      </c>
      <c r="I1573" s="1" t="s">
        <v>20</v>
      </c>
      <c r="J1573" s="1" t="str">
        <f t="shared" si="212"/>
        <v>Закрито</v>
      </c>
      <c r="K1573" s="5">
        <v>45610</v>
      </c>
      <c r="L1573" s="1" t="s">
        <v>20</v>
      </c>
      <c r="M1573" s="1" t="s">
        <v>22</v>
      </c>
      <c r="N1573" s="5">
        <v>45610</v>
      </c>
    </row>
    <row r="1574" spans="1:14" x14ac:dyDescent="0.3">
      <c r="A1574" s="1" t="str">
        <f>"28_644-11/2024/Х"</f>
        <v>28_644-11/2024/Х</v>
      </c>
      <c r="B1574" s="6">
        <v>45610</v>
      </c>
      <c r="C1574" s="1" t="str">
        <f>"00133"</f>
        <v>00133</v>
      </c>
      <c r="D1574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574" s="1" t="str">
        <f>"03193413"</f>
        <v>03193413</v>
      </c>
      <c r="F157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74" s="1" t="str">
        <f t="shared" si="213"/>
        <v>Фізична особа</v>
      </c>
      <c r="H1574" s="1" t="s">
        <v>20</v>
      </c>
      <c r="I1574" s="1" t="s">
        <v>20</v>
      </c>
      <c r="J1574" s="1" t="str">
        <f t="shared" si="212"/>
        <v>Закрито</v>
      </c>
      <c r="K1574" s="5">
        <v>45625</v>
      </c>
      <c r="L1574" s="1" t="s">
        <v>20</v>
      </c>
      <c r="M1574" s="1" t="s">
        <v>22</v>
      </c>
      <c r="N1574" s="5">
        <v>45625</v>
      </c>
    </row>
    <row r="1575" spans="1:14" x14ac:dyDescent="0.3">
      <c r="A1575" s="1" t="str">
        <f>"3_848-11/2024/К"</f>
        <v>3_848-11/2024/К</v>
      </c>
      <c r="B1575" s="6">
        <v>45610</v>
      </c>
      <c r="C1575" s="1" t="str">
        <f>"00155"</f>
        <v>00155</v>
      </c>
      <c r="D1575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575" s="1" t="str">
        <f>"03193413"</f>
        <v>03193413</v>
      </c>
      <c r="F157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75" s="1" t="str">
        <f t="shared" si="213"/>
        <v>Фізична особа</v>
      </c>
      <c r="H1575" s="1" t="s">
        <v>20</v>
      </c>
      <c r="I1575" s="1" t="s">
        <v>20</v>
      </c>
      <c r="J1575" s="1" t="str">
        <f t="shared" si="212"/>
        <v>Закрито</v>
      </c>
      <c r="K1575" s="5">
        <v>45623</v>
      </c>
      <c r="L1575" s="1" t="s">
        <v>20</v>
      </c>
      <c r="M1575" s="1" t="s">
        <v>22</v>
      </c>
      <c r="N1575" s="5">
        <v>45623</v>
      </c>
    </row>
    <row r="1576" spans="1:14" x14ac:dyDescent="0.3">
      <c r="A1576" s="1" t="str">
        <f>"3_849-11/2024/К"</f>
        <v>3_849-11/2024/К</v>
      </c>
      <c r="B1576" s="6">
        <v>45610</v>
      </c>
      <c r="C1576" s="1" t="str">
        <f>"33"</f>
        <v>33</v>
      </c>
      <c r="D1576" s="2" t="str">
        <f>"33 Довідки різного характеру"</f>
        <v>33 Довідки різного характеру</v>
      </c>
      <c r="E1576" s="1" t="s">
        <v>20</v>
      </c>
      <c r="F1576" s="1" t="str">
        <f t="shared" ref="F1576:F1589" si="214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76" s="1" t="str">
        <f t="shared" si="213"/>
        <v>Фізична особа</v>
      </c>
      <c r="H1576" s="1" t="s">
        <v>20</v>
      </c>
      <c r="I1576" s="1" t="s">
        <v>20</v>
      </c>
      <c r="J1576" s="1" t="str">
        <f t="shared" si="212"/>
        <v>Закрито</v>
      </c>
      <c r="K1576" s="5">
        <v>45610</v>
      </c>
      <c r="L1576" s="1" t="s">
        <v>20</v>
      </c>
      <c r="M1576" s="1" t="s">
        <v>22</v>
      </c>
      <c r="N1576" s="5">
        <v>45610</v>
      </c>
    </row>
    <row r="1577" spans="1:14" x14ac:dyDescent="0.3">
      <c r="A1577" s="1" t="str">
        <f>"33_414-11/2024/К"</f>
        <v>33_414-11/2024/К</v>
      </c>
      <c r="B1577" s="6">
        <v>45610</v>
      </c>
      <c r="C1577" s="1" t="str">
        <f>"33"</f>
        <v>33</v>
      </c>
      <c r="D1577" s="2" t="str">
        <f>"33 Довідки різного характеру"</f>
        <v>33 Довідки різного характеру</v>
      </c>
      <c r="E1577" s="1" t="s">
        <v>20</v>
      </c>
      <c r="F1577" s="1" t="str">
        <f t="shared" si="214"/>
        <v>Центр надання адміністративних послуг Рогатинської міської ради</v>
      </c>
      <c r="G1577" s="1" t="str">
        <f t="shared" si="213"/>
        <v>Фізична особа</v>
      </c>
      <c r="H1577" s="1" t="s">
        <v>20</v>
      </c>
      <c r="I1577" s="1" t="s">
        <v>20</v>
      </c>
      <c r="J1577" s="1" t="str">
        <f t="shared" si="212"/>
        <v>Закрито</v>
      </c>
      <c r="K1577" s="5">
        <v>45610</v>
      </c>
      <c r="L1577" s="1" t="s">
        <v>20</v>
      </c>
      <c r="M1577" s="1" t="s">
        <v>22</v>
      </c>
      <c r="N1577" s="5">
        <v>45610</v>
      </c>
    </row>
    <row r="1578" spans="1:14" x14ac:dyDescent="0.3">
      <c r="A1578" s="1" t="str">
        <f>"35_512-11/2024/С"</f>
        <v>35_512-11/2024/С</v>
      </c>
      <c r="B1578" s="6">
        <v>45610</v>
      </c>
      <c r="C1578" s="1" t="str">
        <f>"33"</f>
        <v>33</v>
      </c>
      <c r="D1578" s="2" t="str">
        <f>"33 Довідки різного характеру"</f>
        <v>33 Довідки різного характеру</v>
      </c>
      <c r="E1578" s="1" t="s">
        <v>20</v>
      </c>
      <c r="F1578" s="1" t="str">
        <f t="shared" si="214"/>
        <v>Центр надання адміністративних послуг Рогатинської міської ради</v>
      </c>
      <c r="G1578" s="1" t="str">
        <f t="shared" si="213"/>
        <v>Фізична особа</v>
      </c>
      <c r="H1578" s="1" t="s">
        <v>20</v>
      </c>
      <c r="I1578" s="1" t="s">
        <v>20</v>
      </c>
      <c r="J1578" s="1" t="str">
        <f t="shared" si="212"/>
        <v>Закрито</v>
      </c>
      <c r="K1578" s="5">
        <v>45610</v>
      </c>
      <c r="L1578" s="1" t="s">
        <v>20</v>
      </c>
      <c r="M1578" s="1" t="s">
        <v>22</v>
      </c>
      <c r="N1578" s="5">
        <v>45610</v>
      </c>
    </row>
    <row r="1579" spans="1:14" x14ac:dyDescent="0.3">
      <c r="A1579" s="1" t="str">
        <f>"19_523-11/2024/П"</f>
        <v>19_523-11/2024/П</v>
      </c>
      <c r="B1579" s="6">
        <v>45610</v>
      </c>
      <c r="C1579" s="1" t="str">
        <f>"00038"</f>
        <v>00038</v>
      </c>
      <c r="D157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79" s="1" t="s">
        <v>20</v>
      </c>
      <c r="F1579" s="1" t="str">
        <f t="shared" si="214"/>
        <v>Центр надання адміністративних послуг Рогатинської міської ради</v>
      </c>
      <c r="G1579" s="1" t="str">
        <f t="shared" si="213"/>
        <v>Фізична особа</v>
      </c>
      <c r="H1579" s="1" t="s">
        <v>20</v>
      </c>
      <c r="I1579" s="1" t="s">
        <v>20</v>
      </c>
      <c r="J1579" s="1" t="str">
        <f t="shared" si="212"/>
        <v>Закрито</v>
      </c>
      <c r="K1579" s="5">
        <v>45610</v>
      </c>
      <c r="L1579" s="1" t="s">
        <v>20</v>
      </c>
      <c r="M1579" s="1" t="s">
        <v>22</v>
      </c>
      <c r="N1579" s="5">
        <v>45610</v>
      </c>
    </row>
    <row r="1580" spans="1:14" x14ac:dyDescent="0.3">
      <c r="A1580" s="1" t="str">
        <f>"14_984-11/2024/Л"</f>
        <v>14_984-11/2024/Л</v>
      </c>
      <c r="B1580" s="6">
        <v>45610</v>
      </c>
      <c r="C1580" s="1" t="str">
        <f>"00038"</f>
        <v>00038</v>
      </c>
      <c r="D158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80" s="1" t="s">
        <v>20</v>
      </c>
      <c r="F1580" s="1" t="str">
        <f t="shared" si="214"/>
        <v>Центр надання адміністративних послуг Рогатинської міської ради</v>
      </c>
      <c r="G1580" s="1" t="str">
        <f t="shared" si="213"/>
        <v>Фізична особа</v>
      </c>
      <c r="H1580" s="1" t="s">
        <v>20</v>
      </c>
      <c r="I1580" s="1" t="s">
        <v>20</v>
      </c>
      <c r="J1580" s="1" t="str">
        <f t="shared" si="212"/>
        <v>Закрито</v>
      </c>
      <c r="K1580" s="5">
        <v>45610</v>
      </c>
      <c r="L1580" s="1" t="s">
        <v>20</v>
      </c>
      <c r="M1580" s="1" t="s">
        <v>22</v>
      </c>
      <c r="N1580" s="5">
        <v>45610</v>
      </c>
    </row>
    <row r="1581" spans="1:14" x14ac:dyDescent="0.3">
      <c r="A1581" s="1" t="str">
        <f>"14_985-11/2024/Г"</f>
        <v>14_985-11/2024/Г</v>
      </c>
      <c r="B1581" s="6">
        <v>45610</v>
      </c>
      <c r="C1581" s="1" t="str">
        <f>"33"</f>
        <v>33</v>
      </c>
      <c r="D1581" s="2" t="str">
        <f>"33 Довідки різного характеру"</f>
        <v>33 Довідки різного характеру</v>
      </c>
      <c r="E1581" s="1" t="s">
        <v>20</v>
      </c>
      <c r="F1581" s="1" t="str">
        <f t="shared" si="214"/>
        <v>Центр надання адміністративних послуг Рогатинської міської ради</v>
      </c>
      <c r="G1581" s="1" t="str">
        <f t="shared" si="213"/>
        <v>Фізична особа</v>
      </c>
      <c r="H1581" s="1" t="s">
        <v>20</v>
      </c>
      <c r="I1581" s="1" t="s">
        <v>20</v>
      </c>
      <c r="J1581" s="1" t="str">
        <f t="shared" si="212"/>
        <v>Закрито</v>
      </c>
      <c r="K1581" s="5">
        <v>45610</v>
      </c>
      <c r="L1581" s="1" t="s">
        <v>20</v>
      </c>
      <c r="M1581" s="1" t="s">
        <v>22</v>
      </c>
      <c r="N1581" s="5">
        <v>45610</v>
      </c>
    </row>
    <row r="1582" spans="1:14" x14ac:dyDescent="0.3">
      <c r="A1582" s="1" t="str">
        <f>"1_5833/2129-11/2024/Р"</f>
        <v>1_5833/2129-11/2024/Р</v>
      </c>
      <c r="B1582" s="6">
        <v>45610</v>
      </c>
      <c r="C1582" s="1" t="str">
        <f t="shared" ref="C1582:C1588" si="215">"00038"</f>
        <v>00038</v>
      </c>
      <c r="D1582" s="2" t="str">
        <f t="shared" ref="D1582:D1588" si="216"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82" s="1" t="s">
        <v>20</v>
      </c>
      <c r="F1582" s="1" t="str">
        <f t="shared" si="214"/>
        <v>Центр надання адміністративних послуг Рогатинської міської ради</v>
      </c>
      <c r="G1582" s="1" t="str">
        <f t="shared" si="213"/>
        <v>Фізична особа</v>
      </c>
      <c r="H1582" s="1" t="s">
        <v>20</v>
      </c>
      <c r="I1582" s="1" t="s">
        <v>20</v>
      </c>
      <c r="J1582" s="1" t="str">
        <f t="shared" si="212"/>
        <v>Закрито</v>
      </c>
      <c r="K1582" s="6">
        <v>45610</v>
      </c>
      <c r="L1582" s="1" t="s">
        <v>20</v>
      </c>
      <c r="M1582" s="1" t="s">
        <v>22</v>
      </c>
      <c r="N1582" s="5">
        <v>45610</v>
      </c>
    </row>
    <row r="1583" spans="1:14" x14ac:dyDescent="0.3">
      <c r="A1583" s="1" t="str">
        <f>"1_5834/2129-11/2024/Р"</f>
        <v>1_5834/2129-11/2024/Р</v>
      </c>
      <c r="B1583" s="6">
        <v>45610</v>
      </c>
      <c r="C1583" s="1" t="str">
        <f t="shared" si="215"/>
        <v>00038</v>
      </c>
      <c r="D1583" s="2" t="str">
        <f t="shared" si="216"/>
        <v>Видача довідки про реєстрацію місця проживання або місця перебування особи</v>
      </c>
      <c r="E1583" s="1" t="s">
        <v>20</v>
      </c>
      <c r="F1583" s="1" t="str">
        <f t="shared" si="214"/>
        <v>Центр надання адміністративних послуг Рогатинської міської ради</v>
      </c>
      <c r="G1583" s="1" t="str">
        <f t="shared" si="213"/>
        <v>Фізична особа</v>
      </c>
      <c r="H1583" s="1" t="s">
        <v>20</v>
      </c>
      <c r="I1583" s="1" t="s">
        <v>20</v>
      </c>
      <c r="J1583" s="1" t="str">
        <f t="shared" si="212"/>
        <v>Закрито</v>
      </c>
      <c r="K1583" s="6">
        <v>45610</v>
      </c>
      <c r="L1583" s="1" t="s">
        <v>20</v>
      </c>
      <c r="M1583" s="1" t="s">
        <v>22</v>
      </c>
      <c r="N1583" s="5">
        <v>45610</v>
      </c>
    </row>
    <row r="1584" spans="1:14" x14ac:dyDescent="0.3">
      <c r="A1584" s="1" t="str">
        <f>"1_5835/2129-11/2024/Р"</f>
        <v>1_5835/2129-11/2024/Р</v>
      </c>
      <c r="B1584" s="6">
        <v>45610</v>
      </c>
      <c r="C1584" s="1" t="str">
        <f t="shared" si="215"/>
        <v>00038</v>
      </c>
      <c r="D1584" s="2" t="str">
        <f t="shared" si="216"/>
        <v>Видача довідки про реєстрацію місця проживання або місця перебування особи</v>
      </c>
      <c r="E1584" s="1" t="s">
        <v>20</v>
      </c>
      <c r="F1584" s="1" t="str">
        <f t="shared" si="214"/>
        <v>Центр надання адміністративних послуг Рогатинської міської ради</v>
      </c>
      <c r="G1584" s="1" t="str">
        <f t="shared" si="213"/>
        <v>Фізична особа</v>
      </c>
      <c r="H1584" s="1" t="s">
        <v>20</v>
      </c>
      <c r="I1584" s="1" t="s">
        <v>20</v>
      </c>
      <c r="J1584" s="1" t="str">
        <f t="shared" si="212"/>
        <v>Закрито</v>
      </c>
      <c r="K1584" s="6">
        <v>45610</v>
      </c>
      <c r="L1584" s="1" t="s">
        <v>20</v>
      </c>
      <c r="M1584" s="1" t="s">
        <v>22</v>
      </c>
      <c r="N1584" s="5">
        <v>45610</v>
      </c>
    </row>
    <row r="1585" spans="1:14" x14ac:dyDescent="0.3">
      <c r="A1585" s="1" t="str">
        <f>"1_5836/2129-11/2024/Р"</f>
        <v>1_5836/2129-11/2024/Р</v>
      </c>
      <c r="B1585" s="6">
        <v>45610</v>
      </c>
      <c r="C1585" s="1" t="str">
        <f t="shared" si="215"/>
        <v>00038</v>
      </c>
      <c r="D1585" s="2" t="str">
        <f t="shared" si="216"/>
        <v>Видача довідки про реєстрацію місця проживання або місця перебування особи</v>
      </c>
      <c r="E1585" s="1" t="s">
        <v>20</v>
      </c>
      <c r="F1585" s="1" t="str">
        <f t="shared" si="214"/>
        <v>Центр надання адміністративних послуг Рогатинської міської ради</v>
      </c>
      <c r="G1585" s="1" t="str">
        <f t="shared" si="213"/>
        <v>Фізична особа</v>
      </c>
      <c r="H1585" s="1" t="s">
        <v>20</v>
      </c>
      <c r="I1585" s="1" t="s">
        <v>20</v>
      </c>
      <c r="J1585" s="1" t="str">
        <f t="shared" si="212"/>
        <v>Закрито</v>
      </c>
      <c r="K1585" s="6">
        <v>45610</v>
      </c>
      <c r="L1585" s="1" t="s">
        <v>20</v>
      </c>
      <c r="M1585" s="1" t="s">
        <v>22</v>
      </c>
      <c r="N1585" s="5">
        <v>45610</v>
      </c>
    </row>
    <row r="1586" spans="1:14" x14ac:dyDescent="0.3">
      <c r="A1586" s="1" t="str">
        <f>"1_5837/2129-11/2024/Р"</f>
        <v>1_5837/2129-11/2024/Р</v>
      </c>
      <c r="B1586" s="6">
        <v>45610</v>
      </c>
      <c r="C1586" s="1" t="str">
        <f t="shared" si="215"/>
        <v>00038</v>
      </c>
      <c r="D1586" s="2" t="str">
        <f t="shared" si="216"/>
        <v>Видача довідки про реєстрацію місця проживання або місця перебування особи</v>
      </c>
      <c r="E1586" s="1" t="s">
        <v>20</v>
      </c>
      <c r="F1586" s="1" t="str">
        <f t="shared" si="214"/>
        <v>Центр надання адміністративних послуг Рогатинської міської ради</v>
      </c>
      <c r="G1586" s="1" t="str">
        <f t="shared" si="213"/>
        <v>Фізична особа</v>
      </c>
      <c r="H1586" s="1" t="s">
        <v>20</v>
      </c>
      <c r="I1586" s="1" t="s">
        <v>20</v>
      </c>
      <c r="J1586" s="1" t="str">
        <f t="shared" si="212"/>
        <v>Закрито</v>
      </c>
      <c r="K1586" s="6">
        <v>45610</v>
      </c>
      <c r="L1586" s="1" t="s">
        <v>20</v>
      </c>
      <c r="M1586" s="1" t="s">
        <v>22</v>
      </c>
      <c r="N1586" s="5">
        <v>45610</v>
      </c>
    </row>
    <row r="1587" spans="1:14" x14ac:dyDescent="0.3">
      <c r="A1587" s="1" t="str">
        <f>"1_5838/2129-11/2024/К"</f>
        <v>1_5838/2129-11/2024/К</v>
      </c>
      <c r="B1587" s="6">
        <v>45610</v>
      </c>
      <c r="C1587" s="1" t="str">
        <f t="shared" si="215"/>
        <v>00038</v>
      </c>
      <c r="D1587" s="2" t="str">
        <f t="shared" si="216"/>
        <v>Видача довідки про реєстрацію місця проживання або місця перебування особи</v>
      </c>
      <c r="E1587" s="1" t="s">
        <v>20</v>
      </c>
      <c r="F1587" s="1" t="str">
        <f t="shared" si="214"/>
        <v>Центр надання адміністративних послуг Рогатинської міської ради</v>
      </c>
      <c r="G1587" s="1" t="str">
        <f t="shared" si="213"/>
        <v>Фізична особа</v>
      </c>
      <c r="H1587" s="1" t="s">
        <v>20</v>
      </c>
      <c r="I1587" s="1" t="s">
        <v>20</v>
      </c>
      <c r="J1587" s="1" t="str">
        <f t="shared" si="212"/>
        <v>Закрито</v>
      </c>
      <c r="K1587" s="5">
        <v>45614</v>
      </c>
      <c r="L1587" s="1" t="s">
        <v>20</v>
      </c>
      <c r="M1587" s="1" t="s">
        <v>22</v>
      </c>
      <c r="N1587" s="5">
        <v>45614</v>
      </c>
    </row>
    <row r="1588" spans="1:14" x14ac:dyDescent="0.3">
      <c r="A1588" s="1" t="str">
        <f>"27_589-11/2024/Ш"</f>
        <v>27_589-11/2024/Ш</v>
      </c>
      <c r="B1588" s="6">
        <v>45610</v>
      </c>
      <c r="C1588" s="1" t="str">
        <f t="shared" si="215"/>
        <v>00038</v>
      </c>
      <c r="D1588" s="2" t="str">
        <f t="shared" si="216"/>
        <v>Видача довідки про реєстрацію місця проживання або місця перебування особи</v>
      </c>
      <c r="E1588" s="1" t="s">
        <v>20</v>
      </c>
      <c r="F1588" s="1" t="str">
        <f t="shared" si="214"/>
        <v>Центр надання адміністративних послуг Рогатинської міської ради</v>
      </c>
      <c r="G1588" s="1" t="str">
        <f t="shared" si="213"/>
        <v>Фізична особа</v>
      </c>
      <c r="H1588" s="1" t="s">
        <v>20</v>
      </c>
      <c r="I1588" s="1" t="s">
        <v>20</v>
      </c>
      <c r="J1588" s="1" t="str">
        <f t="shared" si="212"/>
        <v>Закрито</v>
      </c>
      <c r="K1588" s="5">
        <v>45610</v>
      </c>
      <c r="L1588" s="1" t="s">
        <v>20</v>
      </c>
      <c r="M1588" s="1" t="s">
        <v>22</v>
      </c>
      <c r="N1588" s="5">
        <v>45610</v>
      </c>
    </row>
    <row r="1589" spans="1:14" x14ac:dyDescent="0.3">
      <c r="A1589" s="1" t="str">
        <f>"28_645-11/2024/П"</f>
        <v>28_645-11/2024/П</v>
      </c>
      <c r="B1589" s="6">
        <v>45610</v>
      </c>
      <c r="C1589" s="1" t="str">
        <f>"01495"</f>
        <v>01495</v>
      </c>
      <c r="D1589" s="2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1589" s="1" t="s">
        <v>20</v>
      </c>
      <c r="F1589" s="1" t="str">
        <f t="shared" si="214"/>
        <v>Центр надання адміністративних послуг Рогатинської міської ради</v>
      </c>
      <c r="G1589" s="1" t="str">
        <f>"Юридична особа"</f>
        <v>Юридична особа</v>
      </c>
      <c r="H1589" s="1" t="str">
        <f>"Приватний нотаріус Дзера Мар'яна Любомирівна"</f>
        <v>Приватний нотаріус Дзера Мар'яна Любомирівна</v>
      </c>
      <c r="I1589" s="1" t="s">
        <v>20</v>
      </c>
      <c r="J1589" s="1" t="str">
        <f t="shared" si="212"/>
        <v>Закрито</v>
      </c>
      <c r="K1589" s="5">
        <v>45610</v>
      </c>
      <c r="L1589" s="1" t="s">
        <v>20</v>
      </c>
      <c r="M1589" s="1" t="s">
        <v>22</v>
      </c>
      <c r="N1589" s="5">
        <v>45610</v>
      </c>
    </row>
    <row r="1590" spans="1:14" x14ac:dyDescent="0.3">
      <c r="A1590" s="1" t="str">
        <f>"14_986-11/2024/Г"</f>
        <v>14_986-11/2024/Г</v>
      </c>
      <c r="B1590" s="6">
        <v>45610</v>
      </c>
      <c r="C1590" s="1" t="str">
        <f>"00103"</f>
        <v>00103</v>
      </c>
      <c r="D1590" s="2" t="s">
        <v>1</v>
      </c>
      <c r="E1590" s="1" t="str">
        <f>"03193413"</f>
        <v>03193413</v>
      </c>
      <c r="F159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90" s="1" t="str">
        <f t="shared" ref="G1590:G1606" si="217">"Фізична особа"</f>
        <v>Фізична особа</v>
      </c>
      <c r="H1590" s="1" t="s">
        <v>20</v>
      </c>
      <c r="I1590" s="1" t="s">
        <v>20</v>
      </c>
      <c r="J1590" s="1" t="str">
        <f>"На обробці в СНАП"</f>
        <v>На обробці в СНАП</v>
      </c>
      <c r="K1590" s="1" t="s">
        <v>20</v>
      </c>
      <c r="L1590" s="1" t="s">
        <v>20</v>
      </c>
      <c r="M1590" s="1" t="s">
        <v>22</v>
      </c>
      <c r="N1590" s="1" t="s">
        <v>20</v>
      </c>
    </row>
    <row r="1591" spans="1:14" x14ac:dyDescent="0.3">
      <c r="A1591" s="1" t="str">
        <f>"23_443-11/2024/Л"</f>
        <v>23_443-11/2024/Л</v>
      </c>
      <c r="B1591" s="6">
        <v>45610</v>
      </c>
      <c r="C1591" s="1" t="str">
        <f t="shared" ref="C1591:C1597" si="218">"00038"</f>
        <v>00038</v>
      </c>
      <c r="D1591" s="2" t="str">
        <f t="shared" ref="D1591:D1597" si="219"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591" s="1" t="s">
        <v>20</v>
      </c>
      <c r="F1591" s="1" t="str">
        <f t="shared" ref="F1591:F1597" si="220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591" s="1" t="str">
        <f t="shared" si="217"/>
        <v>Фізична особа</v>
      </c>
      <c r="H1591" s="1" t="s">
        <v>20</v>
      </c>
      <c r="I1591" s="1" t="s">
        <v>20</v>
      </c>
      <c r="J1591" s="1" t="str">
        <f t="shared" ref="J1591:J1608" si="221">"Закрито"</f>
        <v>Закрито</v>
      </c>
      <c r="K1591" s="5">
        <v>45610</v>
      </c>
      <c r="L1591" s="1" t="s">
        <v>20</v>
      </c>
      <c r="M1591" s="1" t="s">
        <v>22</v>
      </c>
      <c r="N1591" s="5">
        <v>45610</v>
      </c>
    </row>
    <row r="1592" spans="1:14" x14ac:dyDescent="0.3">
      <c r="A1592" s="1" t="str">
        <f>"23_444-11/2024/Л"</f>
        <v>23_444-11/2024/Л</v>
      </c>
      <c r="B1592" s="6">
        <v>45610</v>
      </c>
      <c r="C1592" s="1" t="str">
        <f t="shared" si="218"/>
        <v>00038</v>
      </c>
      <c r="D1592" s="2" t="str">
        <f t="shared" si="219"/>
        <v>Видача довідки про реєстрацію місця проживання або місця перебування особи</v>
      </c>
      <c r="E1592" s="1" t="s">
        <v>20</v>
      </c>
      <c r="F1592" s="1" t="str">
        <f t="shared" si="220"/>
        <v>Центр надання адміністративних послуг Рогатинської міської ради</v>
      </c>
      <c r="G1592" s="1" t="str">
        <f t="shared" si="217"/>
        <v>Фізична особа</v>
      </c>
      <c r="H1592" s="1" t="s">
        <v>20</v>
      </c>
      <c r="I1592" s="1" t="s">
        <v>20</v>
      </c>
      <c r="J1592" s="1" t="str">
        <f t="shared" si="221"/>
        <v>Закрито</v>
      </c>
      <c r="K1592" s="5">
        <v>45610</v>
      </c>
      <c r="L1592" s="1" t="s">
        <v>20</v>
      </c>
      <c r="M1592" s="1" t="s">
        <v>22</v>
      </c>
      <c r="N1592" s="5">
        <v>45610</v>
      </c>
    </row>
    <row r="1593" spans="1:14" x14ac:dyDescent="0.3">
      <c r="A1593" s="1" t="str">
        <f>"23_445-11/2024/Л"</f>
        <v>23_445-11/2024/Л</v>
      </c>
      <c r="B1593" s="6">
        <v>45610</v>
      </c>
      <c r="C1593" s="1" t="str">
        <f t="shared" si="218"/>
        <v>00038</v>
      </c>
      <c r="D1593" s="2" t="str">
        <f t="shared" si="219"/>
        <v>Видача довідки про реєстрацію місця проживання або місця перебування особи</v>
      </c>
      <c r="E1593" s="1" t="s">
        <v>20</v>
      </c>
      <c r="F1593" s="1" t="str">
        <f t="shared" si="220"/>
        <v>Центр надання адміністративних послуг Рогатинської міської ради</v>
      </c>
      <c r="G1593" s="1" t="str">
        <f t="shared" si="217"/>
        <v>Фізична особа</v>
      </c>
      <c r="H1593" s="1" t="s">
        <v>20</v>
      </c>
      <c r="I1593" s="1" t="s">
        <v>20</v>
      </c>
      <c r="J1593" s="1" t="str">
        <f t="shared" si="221"/>
        <v>Закрито</v>
      </c>
      <c r="K1593" s="5">
        <v>45610</v>
      </c>
      <c r="L1593" s="1" t="s">
        <v>20</v>
      </c>
      <c r="M1593" s="1" t="s">
        <v>22</v>
      </c>
      <c r="N1593" s="5">
        <v>45610</v>
      </c>
    </row>
    <row r="1594" spans="1:14" x14ac:dyDescent="0.3">
      <c r="A1594" s="1" t="str">
        <f>"14_987-11/2024/Л"</f>
        <v>14_987-11/2024/Л</v>
      </c>
      <c r="B1594" s="6">
        <v>45610</v>
      </c>
      <c r="C1594" s="1" t="str">
        <f t="shared" si="218"/>
        <v>00038</v>
      </c>
      <c r="D1594" s="2" t="str">
        <f t="shared" si="219"/>
        <v>Видача довідки про реєстрацію місця проживання або місця перебування особи</v>
      </c>
      <c r="E1594" s="1" t="s">
        <v>20</v>
      </c>
      <c r="F1594" s="1" t="str">
        <f t="shared" si="220"/>
        <v>Центр надання адміністративних послуг Рогатинської міської ради</v>
      </c>
      <c r="G1594" s="1" t="str">
        <f t="shared" si="217"/>
        <v>Фізична особа</v>
      </c>
      <c r="H1594" s="1" t="s">
        <v>20</v>
      </c>
      <c r="I1594" s="1" t="s">
        <v>20</v>
      </c>
      <c r="J1594" s="1" t="str">
        <f t="shared" si="221"/>
        <v>Закрито</v>
      </c>
      <c r="K1594" s="5">
        <v>45610</v>
      </c>
      <c r="L1594" s="1" t="s">
        <v>20</v>
      </c>
      <c r="M1594" s="1" t="s">
        <v>22</v>
      </c>
      <c r="N1594" s="5">
        <v>45610</v>
      </c>
    </row>
    <row r="1595" spans="1:14" x14ac:dyDescent="0.3">
      <c r="A1595" s="1" t="str">
        <f>"27_590-11/2024/Ф"</f>
        <v>27_590-11/2024/Ф</v>
      </c>
      <c r="B1595" s="6">
        <v>45610</v>
      </c>
      <c r="C1595" s="1" t="str">
        <f t="shared" si="218"/>
        <v>00038</v>
      </c>
      <c r="D1595" s="2" t="str">
        <f t="shared" si="219"/>
        <v>Видача довідки про реєстрацію місця проживання або місця перебування особи</v>
      </c>
      <c r="E1595" s="1" t="s">
        <v>20</v>
      </c>
      <c r="F1595" s="1" t="str">
        <f t="shared" si="220"/>
        <v>Центр надання адміністративних послуг Рогатинської міської ради</v>
      </c>
      <c r="G1595" s="1" t="str">
        <f t="shared" si="217"/>
        <v>Фізична особа</v>
      </c>
      <c r="H1595" s="1" t="s">
        <v>20</v>
      </c>
      <c r="I1595" s="1" t="s">
        <v>20</v>
      </c>
      <c r="J1595" s="1" t="str">
        <f t="shared" si="221"/>
        <v>Закрито</v>
      </c>
      <c r="K1595" s="5">
        <v>45610</v>
      </c>
      <c r="L1595" s="1" t="s">
        <v>20</v>
      </c>
      <c r="M1595" s="1" t="s">
        <v>22</v>
      </c>
      <c r="N1595" s="5">
        <v>45610</v>
      </c>
    </row>
    <row r="1596" spans="1:14" x14ac:dyDescent="0.3">
      <c r="A1596" s="1" t="str">
        <f>"1_700-11/2024/Г"</f>
        <v>1_700-11/2024/Г</v>
      </c>
      <c r="B1596" s="6">
        <v>45610</v>
      </c>
      <c r="C1596" s="1" t="str">
        <f t="shared" si="218"/>
        <v>00038</v>
      </c>
      <c r="D1596" s="2" t="str">
        <f t="shared" si="219"/>
        <v>Видача довідки про реєстрацію місця проживання або місця перебування особи</v>
      </c>
      <c r="E1596" s="1" t="s">
        <v>20</v>
      </c>
      <c r="F1596" s="1" t="str">
        <f t="shared" si="220"/>
        <v>Центр надання адміністративних послуг Рогатинської міської ради</v>
      </c>
      <c r="G1596" s="1" t="str">
        <f t="shared" si="217"/>
        <v>Фізична особа</v>
      </c>
      <c r="H1596" s="1" t="s">
        <v>20</v>
      </c>
      <c r="I1596" s="1" t="s">
        <v>20</v>
      </c>
      <c r="J1596" s="1" t="str">
        <f t="shared" si="221"/>
        <v>Закрито</v>
      </c>
      <c r="K1596" s="5">
        <v>45609</v>
      </c>
      <c r="L1596" s="1" t="s">
        <v>20</v>
      </c>
      <c r="M1596" s="1" t="s">
        <v>22</v>
      </c>
      <c r="N1596" s="5">
        <v>45609</v>
      </c>
    </row>
    <row r="1597" spans="1:14" x14ac:dyDescent="0.3">
      <c r="A1597" s="1" t="str">
        <f>"9_557-11/2024/П"</f>
        <v>9_557-11/2024/П</v>
      </c>
      <c r="B1597" s="6">
        <v>45610</v>
      </c>
      <c r="C1597" s="1" t="str">
        <f t="shared" si="218"/>
        <v>00038</v>
      </c>
      <c r="D1597" s="2" t="str">
        <f t="shared" si="219"/>
        <v>Видача довідки про реєстрацію місця проживання або місця перебування особи</v>
      </c>
      <c r="E1597" s="1" t="s">
        <v>20</v>
      </c>
      <c r="F1597" s="1" t="str">
        <f t="shared" si="220"/>
        <v>Центр надання адміністративних послуг Рогатинської міської ради</v>
      </c>
      <c r="G1597" s="1" t="str">
        <f t="shared" si="217"/>
        <v>Фізична особа</v>
      </c>
      <c r="H1597" s="1" t="s">
        <v>20</v>
      </c>
      <c r="I1597" s="1" t="s">
        <v>20</v>
      </c>
      <c r="J1597" s="1" t="str">
        <f t="shared" si="221"/>
        <v>Закрито</v>
      </c>
      <c r="K1597" s="5">
        <v>45610</v>
      </c>
      <c r="L1597" s="1" t="s">
        <v>20</v>
      </c>
      <c r="M1597" s="1" t="s">
        <v>22</v>
      </c>
      <c r="N1597" s="5">
        <v>45610</v>
      </c>
    </row>
    <row r="1598" spans="1:14" x14ac:dyDescent="0.3">
      <c r="A1598" s="1" t="str">
        <f>"1_701-11/2024/Г"</f>
        <v>1_701-11/2024/Г</v>
      </c>
      <c r="B1598" s="6">
        <v>45610</v>
      </c>
      <c r="C1598" s="1" t="str">
        <f>"00064"</f>
        <v>00064</v>
      </c>
      <c r="D1598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598" s="1" t="s">
        <v>20</v>
      </c>
      <c r="F1598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598" s="1" t="str">
        <f t="shared" si="217"/>
        <v>Фізична особа</v>
      </c>
      <c r="H1598" s="1" t="s">
        <v>20</v>
      </c>
      <c r="I1598" s="1" t="s">
        <v>20</v>
      </c>
      <c r="J1598" s="1" t="str">
        <f t="shared" si="221"/>
        <v>Закрито</v>
      </c>
      <c r="K1598" s="5">
        <v>45610</v>
      </c>
      <c r="L1598" s="1" t="s">
        <v>20</v>
      </c>
      <c r="M1598" s="1" t="s">
        <v>22</v>
      </c>
      <c r="N1598" s="5">
        <v>45610</v>
      </c>
    </row>
    <row r="1599" spans="1:14" x14ac:dyDescent="0.3">
      <c r="A1599" s="1" t="str">
        <f>"1_702-11/2024/Г"</f>
        <v>1_702-11/2024/Г</v>
      </c>
      <c r="B1599" s="6">
        <v>45610</v>
      </c>
      <c r="C1599" s="1" t="str">
        <f>"00155"</f>
        <v>00155</v>
      </c>
      <c r="D1599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599" s="1" t="str">
        <f>"03193413"</f>
        <v>03193413</v>
      </c>
      <c r="F159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599" s="1" t="str">
        <f t="shared" si="217"/>
        <v>Фізична особа</v>
      </c>
      <c r="H1599" s="1" t="s">
        <v>20</v>
      </c>
      <c r="I1599" s="1" t="s">
        <v>20</v>
      </c>
      <c r="J1599" s="1" t="str">
        <f t="shared" si="221"/>
        <v>Закрито</v>
      </c>
      <c r="K1599" s="5">
        <v>45653</v>
      </c>
      <c r="L1599" s="1" t="s">
        <v>20</v>
      </c>
      <c r="M1599" s="1" t="s">
        <v>22</v>
      </c>
      <c r="N1599" s="5">
        <v>45653</v>
      </c>
    </row>
    <row r="1600" spans="1:14" x14ac:dyDescent="0.3">
      <c r="A1600" s="1" t="str">
        <f>"1_703-11/2024/Г"</f>
        <v>1_703-11/2024/Г</v>
      </c>
      <c r="B1600" s="6">
        <v>45610</v>
      </c>
      <c r="C1600" s="1" t="str">
        <f>"00038"</f>
        <v>00038</v>
      </c>
      <c r="D160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00" s="1" t="s">
        <v>20</v>
      </c>
      <c r="F160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00" s="1" t="str">
        <f t="shared" si="217"/>
        <v>Фізична особа</v>
      </c>
      <c r="H1600" s="1" t="s">
        <v>20</v>
      </c>
      <c r="I1600" s="1" t="s">
        <v>20</v>
      </c>
      <c r="J1600" s="1" t="str">
        <f t="shared" si="221"/>
        <v>Закрито</v>
      </c>
      <c r="K1600" s="5">
        <v>45610</v>
      </c>
      <c r="L1600" s="1" t="s">
        <v>20</v>
      </c>
      <c r="M1600" s="1" t="s">
        <v>22</v>
      </c>
      <c r="N1600" s="5">
        <v>45610</v>
      </c>
    </row>
    <row r="1601" spans="1:14" x14ac:dyDescent="0.3">
      <c r="A1601" s="1" t="str">
        <f>"1_704-11/2024/Г"</f>
        <v>1_704-11/2024/Г</v>
      </c>
      <c r="B1601" s="6">
        <v>45610</v>
      </c>
      <c r="C1601" s="1" t="str">
        <f>"00038"</f>
        <v>00038</v>
      </c>
      <c r="D160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01" s="1" t="s">
        <v>20</v>
      </c>
      <c r="F160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01" s="1" t="str">
        <f t="shared" si="217"/>
        <v>Фізична особа</v>
      </c>
      <c r="H1601" s="1" t="s">
        <v>20</v>
      </c>
      <c r="I1601" s="1" t="s">
        <v>20</v>
      </c>
      <c r="J1601" s="1" t="str">
        <f t="shared" si="221"/>
        <v>Закрито</v>
      </c>
      <c r="K1601" s="5">
        <v>45610</v>
      </c>
      <c r="L1601" s="1" t="s">
        <v>20</v>
      </c>
      <c r="M1601" s="1" t="s">
        <v>22</v>
      </c>
      <c r="N1601" s="5">
        <v>45610</v>
      </c>
    </row>
    <row r="1602" spans="1:14" x14ac:dyDescent="0.3">
      <c r="A1602" s="1" t="str">
        <f>"14_988-11/2024/Ч"</f>
        <v>14_988-11/2024/Ч</v>
      </c>
      <c r="B1602" s="6">
        <v>45610</v>
      </c>
      <c r="C1602" s="1" t="str">
        <f>"00038"</f>
        <v>00038</v>
      </c>
      <c r="D160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02" s="1" t="s">
        <v>20</v>
      </c>
      <c r="F160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02" s="1" t="str">
        <f t="shared" si="217"/>
        <v>Фізична особа</v>
      </c>
      <c r="H1602" s="1" t="s">
        <v>20</v>
      </c>
      <c r="I1602" s="1" t="s">
        <v>20</v>
      </c>
      <c r="J1602" s="1" t="str">
        <f t="shared" si="221"/>
        <v>Закрито</v>
      </c>
      <c r="K1602" s="5">
        <v>45610</v>
      </c>
      <c r="L1602" s="1" t="s">
        <v>20</v>
      </c>
      <c r="M1602" s="1" t="s">
        <v>22</v>
      </c>
      <c r="N1602" s="5">
        <v>45610</v>
      </c>
    </row>
    <row r="1603" spans="1:14" x14ac:dyDescent="0.3">
      <c r="A1603" s="1" t="str">
        <f>"9_558-11/2024/П"</f>
        <v>9_558-11/2024/П</v>
      </c>
      <c r="B1603" s="6">
        <v>45610</v>
      </c>
      <c r="C1603" s="1" t="str">
        <f>"00038"</f>
        <v>00038</v>
      </c>
      <c r="D160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03" s="1" t="s">
        <v>20</v>
      </c>
      <c r="F160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03" s="1" t="str">
        <f t="shared" si="217"/>
        <v>Фізична особа</v>
      </c>
      <c r="H1603" s="1" t="s">
        <v>20</v>
      </c>
      <c r="I1603" s="1" t="s">
        <v>20</v>
      </c>
      <c r="J1603" s="1" t="str">
        <f t="shared" si="221"/>
        <v>Закрито</v>
      </c>
      <c r="K1603" s="5">
        <v>45610</v>
      </c>
      <c r="L1603" s="1" t="s">
        <v>20</v>
      </c>
      <c r="M1603" s="1" t="s">
        <v>22</v>
      </c>
      <c r="N1603" s="5">
        <v>45610</v>
      </c>
    </row>
    <row r="1604" spans="1:14" x14ac:dyDescent="0.3">
      <c r="A1604" s="1" t="str">
        <f>"6_350/04054323-11/2024/Б"</f>
        <v>6_350/04054323-11/2024/Б</v>
      </c>
      <c r="B1604" s="6">
        <v>45610</v>
      </c>
      <c r="C1604" s="1" t="str">
        <f>""</f>
        <v/>
      </c>
      <c r="D1604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604" s="1" t="str">
        <f>"04054323"</f>
        <v>04054323</v>
      </c>
      <c r="F1604" s="1" t="str">
        <f>"Рогатинська міська рада"</f>
        <v>Рогатинська міська рада</v>
      </c>
      <c r="G1604" s="1" t="str">
        <f t="shared" si="217"/>
        <v>Фізична особа</v>
      </c>
      <c r="H1604" s="1" t="s">
        <v>20</v>
      </c>
      <c r="I1604" s="1" t="s">
        <v>20</v>
      </c>
      <c r="J1604" s="1" t="str">
        <f t="shared" si="221"/>
        <v>Закрито</v>
      </c>
      <c r="K1604" s="5">
        <v>45611</v>
      </c>
      <c r="L1604" s="1" t="s">
        <v>20</v>
      </c>
      <c r="M1604" s="1" t="s">
        <v>22</v>
      </c>
      <c r="N1604" s="5">
        <v>45611</v>
      </c>
    </row>
    <row r="1605" spans="1:14" x14ac:dyDescent="0.3">
      <c r="A1605" s="1" t="str">
        <f>"1_705-11/2024/Г"</f>
        <v>1_705-11/2024/Г</v>
      </c>
      <c r="B1605" s="6">
        <v>45610</v>
      </c>
      <c r="C1605" s="1" t="str">
        <f>"00038"</f>
        <v>00038</v>
      </c>
      <c r="D160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05" s="1" t="s">
        <v>20</v>
      </c>
      <c r="F160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05" s="1" t="str">
        <f t="shared" si="217"/>
        <v>Фізична особа</v>
      </c>
      <c r="H1605" s="1" t="s">
        <v>20</v>
      </c>
      <c r="I1605" s="1" t="s">
        <v>20</v>
      </c>
      <c r="J1605" s="1" t="str">
        <f t="shared" si="221"/>
        <v>Закрито</v>
      </c>
      <c r="K1605" s="5">
        <v>45610</v>
      </c>
      <c r="L1605" s="1" t="s">
        <v>20</v>
      </c>
      <c r="M1605" s="1" t="s">
        <v>22</v>
      </c>
      <c r="N1605" s="5">
        <v>45610</v>
      </c>
    </row>
    <row r="1606" spans="1:14" x14ac:dyDescent="0.3">
      <c r="A1606" s="1" t="str">
        <f>"9_559-11/2024/М"</f>
        <v>9_559-11/2024/М</v>
      </c>
      <c r="B1606" s="6">
        <v>45610</v>
      </c>
      <c r="C1606" s="1" t="str">
        <f>"00038"</f>
        <v>00038</v>
      </c>
      <c r="D160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06" s="1" t="s">
        <v>20</v>
      </c>
      <c r="F160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06" s="1" t="str">
        <f t="shared" si="217"/>
        <v>Фізична особа</v>
      </c>
      <c r="H1606" s="1" t="s">
        <v>20</v>
      </c>
      <c r="I1606" s="1" t="s">
        <v>20</v>
      </c>
      <c r="J1606" s="1" t="str">
        <f t="shared" si="221"/>
        <v>Закрито</v>
      </c>
      <c r="K1606" s="5">
        <v>45610</v>
      </c>
      <c r="L1606" s="1" t="s">
        <v>20</v>
      </c>
      <c r="M1606" s="1" t="s">
        <v>22</v>
      </c>
      <c r="N1606" s="5">
        <v>45610</v>
      </c>
    </row>
    <row r="1607" spans="1:14" x14ac:dyDescent="0.3">
      <c r="A1607" s="1" t="str">
        <f>"28_646-11/2024/П"</f>
        <v>28_646-11/2024/П</v>
      </c>
      <c r="B1607" s="6">
        <v>45610</v>
      </c>
      <c r="C1607" s="1" t="str">
        <f>"01495"</f>
        <v>01495</v>
      </c>
      <c r="D1607" s="2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1607" s="1" t="s">
        <v>20</v>
      </c>
      <c r="F160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07" s="1" t="str">
        <f>"Юридична особа"</f>
        <v>Юридична особа</v>
      </c>
      <c r="H1607" s="1" t="str">
        <f>"Приватний нотаріус Дзера Мар'яна Любомирівна"</f>
        <v>Приватний нотаріус Дзера Мар'яна Любомирівна</v>
      </c>
      <c r="I1607" s="1" t="s">
        <v>20</v>
      </c>
      <c r="J1607" s="1" t="str">
        <f t="shared" si="221"/>
        <v>Закрито</v>
      </c>
      <c r="K1607" s="5">
        <v>45610</v>
      </c>
      <c r="L1607" s="1" t="s">
        <v>20</v>
      </c>
      <c r="M1607" s="1" t="s">
        <v>22</v>
      </c>
      <c r="N1607" s="5">
        <v>45610</v>
      </c>
    </row>
    <row r="1608" spans="1:14" x14ac:dyDescent="0.3">
      <c r="A1608" s="1" t="str">
        <f>"28_647-11/2024/Х"</f>
        <v>28_647-11/2024/Х</v>
      </c>
      <c r="B1608" s="6">
        <v>45610</v>
      </c>
      <c r="C1608" s="1" t="str">
        <f>"00038"</f>
        <v>00038</v>
      </c>
      <c r="D160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08" s="1" t="s">
        <v>20</v>
      </c>
      <c r="F160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08" s="1" t="str">
        <f t="shared" ref="G1608:G1647" si="222">"Фізична особа"</f>
        <v>Фізична особа</v>
      </c>
      <c r="H1608" s="1" t="s">
        <v>20</v>
      </c>
      <c r="I1608" s="1" t="s">
        <v>20</v>
      </c>
      <c r="J1608" s="1" t="str">
        <f t="shared" si="221"/>
        <v>Закрито</v>
      </c>
      <c r="K1608" s="5">
        <v>45610</v>
      </c>
      <c r="L1608" s="1" t="s">
        <v>20</v>
      </c>
      <c r="M1608" s="1" t="s">
        <v>22</v>
      </c>
      <c r="N1608" s="5">
        <v>45610</v>
      </c>
    </row>
    <row r="1609" spans="1:14" x14ac:dyDescent="0.3">
      <c r="A1609" s="1" t="str">
        <f>"9_1655/04054323-11/2024/С"</f>
        <v>9_1655/04054323-11/2024/С</v>
      </c>
      <c r="B1609" s="6">
        <v>45610</v>
      </c>
      <c r="C1609" s="1" t="str">
        <f>"01"</f>
        <v>01</v>
      </c>
      <c r="D1609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609" s="1" t="str">
        <f>"04054323"</f>
        <v>04054323</v>
      </c>
      <c r="F1609" s="1" t="str">
        <f>"Рогатинська міська рада"</f>
        <v>Рогатинська міська рада</v>
      </c>
      <c r="G1609" s="1" t="str">
        <f t="shared" si="222"/>
        <v>Фізична особа</v>
      </c>
      <c r="H1609" s="1" t="s">
        <v>20</v>
      </c>
      <c r="I1609" s="1" t="s">
        <v>20</v>
      </c>
      <c r="J1609" s="1" t="str">
        <f>"На обробці в СНАП"</f>
        <v>На обробці в СНАП</v>
      </c>
      <c r="K1609" s="1" t="s">
        <v>20</v>
      </c>
      <c r="L1609" s="1" t="s">
        <v>20</v>
      </c>
      <c r="M1609" s="1" t="s">
        <v>22</v>
      </c>
      <c r="N1609" s="1" t="s">
        <v>20</v>
      </c>
    </row>
    <row r="1610" spans="1:14" x14ac:dyDescent="0.3">
      <c r="A1610" s="1" t="str">
        <f>"28_648-11/2024/Х"</f>
        <v>28_648-11/2024/Х</v>
      </c>
      <c r="B1610" s="6">
        <v>45610</v>
      </c>
      <c r="C1610" s="1" t="str">
        <f>"00038"</f>
        <v>00038</v>
      </c>
      <c r="D161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10" s="1" t="s">
        <v>20</v>
      </c>
      <c r="F161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10" s="1" t="str">
        <f t="shared" si="222"/>
        <v>Фізична особа</v>
      </c>
      <c r="H1610" s="1" t="s">
        <v>20</v>
      </c>
      <c r="I1610" s="1" t="s">
        <v>20</v>
      </c>
      <c r="J1610" s="1" t="str">
        <f>"Закрито"</f>
        <v>Закрито</v>
      </c>
      <c r="K1610" s="5">
        <v>45610</v>
      </c>
      <c r="L1610" s="1" t="s">
        <v>20</v>
      </c>
      <c r="M1610" s="1" t="s">
        <v>22</v>
      </c>
      <c r="N1610" s="5">
        <v>45610</v>
      </c>
    </row>
    <row r="1611" spans="1:14" x14ac:dyDescent="0.3">
      <c r="A1611" s="1" t="str">
        <f>"9_1656/04054323-11/2024/С"</f>
        <v>9_1656/04054323-11/2024/С</v>
      </c>
      <c r="B1611" s="6">
        <v>45610</v>
      </c>
      <c r="C1611" s="1" t="str">
        <f>"01-1"</f>
        <v>01-1</v>
      </c>
      <c r="D1611" s="2" t="s">
        <v>0</v>
      </c>
      <c r="E1611" s="1" t="str">
        <f>"04054323"</f>
        <v>04054323</v>
      </c>
      <c r="F1611" s="1" t="str">
        <f>"Рогатинська міська рада"</f>
        <v>Рогатинська міська рада</v>
      </c>
      <c r="G1611" s="1" t="str">
        <f t="shared" si="222"/>
        <v>Фізична особа</v>
      </c>
      <c r="H1611" s="1" t="s">
        <v>20</v>
      </c>
      <c r="I1611" s="1" t="s">
        <v>20</v>
      </c>
      <c r="J1611" s="1" t="str">
        <f>"На обробці в СНАП"</f>
        <v>На обробці в СНАП</v>
      </c>
      <c r="K1611" s="1" t="s">
        <v>20</v>
      </c>
      <c r="L1611" s="1" t="s">
        <v>20</v>
      </c>
      <c r="M1611" s="1" t="s">
        <v>22</v>
      </c>
      <c r="N1611" s="1" t="s">
        <v>20</v>
      </c>
    </row>
    <row r="1612" spans="1:14" x14ac:dyDescent="0.3">
      <c r="A1612" s="1" t="str">
        <f>"28_649-11/2024/Х"</f>
        <v>28_649-11/2024/Х</v>
      </c>
      <c r="B1612" s="6">
        <v>45610</v>
      </c>
      <c r="C1612" s="1" t="str">
        <f>"00038"</f>
        <v>00038</v>
      </c>
      <c r="D161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12" s="1" t="s">
        <v>20</v>
      </c>
      <c r="F161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12" s="1" t="str">
        <f t="shared" si="222"/>
        <v>Фізична особа</v>
      </c>
      <c r="H1612" s="1" t="s">
        <v>20</v>
      </c>
      <c r="I1612" s="1" t="s">
        <v>20</v>
      </c>
      <c r="J1612" s="1" t="str">
        <f>"Закрито"</f>
        <v>Закрито</v>
      </c>
      <c r="K1612" s="5">
        <v>45610</v>
      </c>
      <c r="L1612" s="1" t="s">
        <v>20</v>
      </c>
      <c r="M1612" s="1" t="s">
        <v>22</v>
      </c>
      <c r="N1612" s="5">
        <v>45610</v>
      </c>
    </row>
    <row r="1613" spans="1:14" x14ac:dyDescent="0.3">
      <c r="A1613" s="1" t="str">
        <f>"9_1657/04054323-11/2024/С"</f>
        <v>9_1657/04054323-11/2024/С</v>
      </c>
      <c r="B1613" s="6">
        <v>45610</v>
      </c>
      <c r="C1613" s="1" t="str">
        <f>"01-1"</f>
        <v>01-1</v>
      </c>
      <c r="D1613" s="2" t="s">
        <v>0</v>
      </c>
      <c r="E1613" s="1" t="str">
        <f>"04054323"</f>
        <v>04054323</v>
      </c>
      <c r="F1613" s="1" t="str">
        <f>"Рогатинська міська рада"</f>
        <v>Рогатинська міська рада</v>
      </c>
      <c r="G1613" s="1" t="str">
        <f t="shared" si="222"/>
        <v>Фізична особа</v>
      </c>
      <c r="H1613" s="1" t="s">
        <v>20</v>
      </c>
      <c r="I1613" s="1" t="s">
        <v>20</v>
      </c>
      <c r="J1613" s="1" t="str">
        <f>"На обробці в СНАП"</f>
        <v>На обробці в СНАП</v>
      </c>
      <c r="K1613" s="1" t="s">
        <v>20</v>
      </c>
      <c r="L1613" s="1" t="s">
        <v>20</v>
      </c>
      <c r="M1613" s="1" t="s">
        <v>22</v>
      </c>
      <c r="N1613" s="1" t="s">
        <v>20</v>
      </c>
    </row>
    <row r="1614" spans="1:14" x14ac:dyDescent="0.3">
      <c r="A1614" s="1" t="str">
        <f>"28_650-11/2024/Х"</f>
        <v>28_650-11/2024/Х</v>
      </c>
      <c r="B1614" s="6">
        <v>45610</v>
      </c>
      <c r="C1614" s="1" t="str">
        <f>"00038"</f>
        <v>00038</v>
      </c>
      <c r="D161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14" s="1" t="s">
        <v>20</v>
      </c>
      <c r="F161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14" s="1" t="str">
        <f t="shared" si="222"/>
        <v>Фізична особа</v>
      </c>
      <c r="H1614" s="1" t="s">
        <v>20</v>
      </c>
      <c r="I1614" s="1" t="s">
        <v>20</v>
      </c>
      <c r="J1614" s="1" t="str">
        <f>"Закрито"</f>
        <v>Закрито</v>
      </c>
      <c r="K1614" s="5">
        <v>45610</v>
      </c>
      <c r="L1614" s="1" t="s">
        <v>20</v>
      </c>
      <c r="M1614" s="1" t="s">
        <v>22</v>
      </c>
      <c r="N1614" s="5">
        <v>45610</v>
      </c>
    </row>
    <row r="1615" spans="1:14" x14ac:dyDescent="0.3">
      <c r="A1615" s="1" t="str">
        <f>"9_1658/04054323-11/2024/С"</f>
        <v>9_1658/04054323-11/2024/С</v>
      </c>
      <c r="B1615" s="6">
        <v>45610</v>
      </c>
      <c r="C1615" s="1" t="str">
        <f>"01"</f>
        <v>01</v>
      </c>
      <c r="D1615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615" s="1" t="str">
        <f>"04054323"</f>
        <v>04054323</v>
      </c>
      <c r="F1615" s="1" t="str">
        <f>"Рогатинська міська рада"</f>
        <v>Рогатинська міська рада</v>
      </c>
      <c r="G1615" s="1" t="str">
        <f t="shared" si="222"/>
        <v>Фізична особа</v>
      </c>
      <c r="H1615" s="1" t="s">
        <v>20</v>
      </c>
      <c r="I1615" s="1" t="s">
        <v>20</v>
      </c>
      <c r="J1615" s="1" t="str">
        <f>"На обробці в СНАП"</f>
        <v>На обробці в СНАП</v>
      </c>
      <c r="K1615" s="1" t="s">
        <v>20</v>
      </c>
      <c r="L1615" s="1" t="s">
        <v>20</v>
      </c>
      <c r="M1615" s="1" t="s">
        <v>22</v>
      </c>
      <c r="N1615" s="1" t="s">
        <v>20</v>
      </c>
    </row>
    <row r="1616" spans="1:14" x14ac:dyDescent="0.3">
      <c r="A1616" s="1" t="str">
        <f>"19_524-11/2024/М"</f>
        <v>19_524-11/2024/М</v>
      </c>
      <c r="B1616" s="6">
        <v>45610</v>
      </c>
      <c r="C1616" s="1" t="str">
        <f>"33"</f>
        <v>33</v>
      </c>
      <c r="D1616" s="2" t="str">
        <f>"33 Довідки різного характеру"</f>
        <v>33 Довідки різного характеру</v>
      </c>
      <c r="E1616" s="1" t="s">
        <v>20</v>
      </c>
      <c r="F161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16" s="1" t="str">
        <f t="shared" si="222"/>
        <v>Фізична особа</v>
      </c>
      <c r="H1616" s="1" t="s">
        <v>20</v>
      </c>
      <c r="I1616" s="1" t="s">
        <v>20</v>
      </c>
      <c r="J1616" s="1" t="str">
        <f>"Закрито"</f>
        <v>Закрито</v>
      </c>
      <c r="K1616" s="5">
        <v>45610</v>
      </c>
      <c r="L1616" s="1" t="s">
        <v>20</v>
      </c>
      <c r="M1616" s="1" t="s">
        <v>22</v>
      </c>
      <c r="N1616" s="5">
        <v>45610</v>
      </c>
    </row>
    <row r="1617" spans="1:14" x14ac:dyDescent="0.3">
      <c r="A1617" s="1" t="str">
        <f>"9_1659/04054323-11/2024/Б"</f>
        <v>9_1659/04054323-11/2024/Б</v>
      </c>
      <c r="B1617" s="6">
        <v>45610</v>
      </c>
      <c r="C1617" s="1" t="str">
        <f>"01-1"</f>
        <v>01-1</v>
      </c>
      <c r="D1617" s="2" t="s">
        <v>0</v>
      </c>
      <c r="E1617" s="1" t="str">
        <f>"04054323"</f>
        <v>04054323</v>
      </c>
      <c r="F1617" s="1" t="str">
        <f>"Рогатинська міська рада"</f>
        <v>Рогатинська міська рада</v>
      </c>
      <c r="G1617" s="1" t="str">
        <f t="shared" si="222"/>
        <v>Фізична особа</v>
      </c>
      <c r="H1617" s="1" t="s">
        <v>20</v>
      </c>
      <c r="I1617" s="1" t="s">
        <v>20</v>
      </c>
      <c r="J1617" s="1" t="str">
        <f>"На обробці в СНАП"</f>
        <v>На обробці в СНАП</v>
      </c>
      <c r="K1617" s="1" t="s">
        <v>20</v>
      </c>
      <c r="L1617" s="1" t="s">
        <v>20</v>
      </c>
      <c r="M1617" s="1" t="s">
        <v>22</v>
      </c>
      <c r="N1617" s="1" t="s">
        <v>20</v>
      </c>
    </row>
    <row r="1618" spans="1:14" x14ac:dyDescent="0.3">
      <c r="A1618" s="1" t="str">
        <f>"9_1660/04054323-11/2024/Б"</f>
        <v>9_1660/04054323-11/2024/Б</v>
      </c>
      <c r="B1618" s="6">
        <v>45610</v>
      </c>
      <c r="C1618" s="1" t="str">
        <f>"01"</f>
        <v>01</v>
      </c>
      <c r="D1618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618" s="1" t="str">
        <f>"04054323"</f>
        <v>04054323</v>
      </c>
      <c r="F1618" s="1" t="str">
        <f>"Рогатинська міська рада"</f>
        <v>Рогатинська міська рада</v>
      </c>
      <c r="G1618" s="1" t="str">
        <f t="shared" si="222"/>
        <v>Фізична особа</v>
      </c>
      <c r="H1618" s="1" t="s">
        <v>20</v>
      </c>
      <c r="I1618" s="1" t="s">
        <v>20</v>
      </c>
      <c r="J1618" s="1" t="str">
        <f>"На обробці в СНАП"</f>
        <v>На обробці в СНАП</v>
      </c>
      <c r="K1618" s="1" t="s">
        <v>20</v>
      </c>
      <c r="L1618" s="1" t="s">
        <v>20</v>
      </c>
      <c r="M1618" s="1" t="s">
        <v>22</v>
      </c>
      <c r="N1618" s="1" t="s">
        <v>20</v>
      </c>
    </row>
    <row r="1619" spans="1:14" x14ac:dyDescent="0.3">
      <c r="A1619" s="1" t="str">
        <f>"22_543-11/2024/П"</f>
        <v>22_543-11/2024/П</v>
      </c>
      <c r="B1619" s="6">
        <v>45610</v>
      </c>
      <c r="C1619" s="1" t="str">
        <f>"00038"</f>
        <v>00038</v>
      </c>
      <c r="D161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19" s="1" t="s">
        <v>20</v>
      </c>
      <c r="F1619" s="1" t="str">
        <f t="shared" ref="F1619:F1628" si="223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19" s="1" t="str">
        <f t="shared" si="222"/>
        <v>Фізична особа</v>
      </c>
      <c r="H1619" s="1" t="s">
        <v>20</v>
      </c>
      <c r="I1619" s="1" t="s">
        <v>20</v>
      </c>
      <c r="J1619" s="1" t="str">
        <f t="shared" ref="J1619:J1632" si="224">"Закрито"</f>
        <v>Закрито</v>
      </c>
      <c r="K1619" s="5">
        <v>45610</v>
      </c>
      <c r="L1619" s="1" t="s">
        <v>20</v>
      </c>
      <c r="M1619" s="1" t="s">
        <v>22</v>
      </c>
      <c r="N1619" s="5">
        <v>45610</v>
      </c>
    </row>
    <row r="1620" spans="1:14" x14ac:dyDescent="0.3">
      <c r="A1620" s="1" t="str">
        <f>"35_513-11/2024/З"</f>
        <v>35_513-11/2024/З</v>
      </c>
      <c r="B1620" s="6">
        <v>45610</v>
      </c>
      <c r="C1620" s="1" t="str">
        <f>"01495"</f>
        <v>01495</v>
      </c>
      <c r="D1620" s="2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1620" s="1" t="s">
        <v>20</v>
      </c>
      <c r="F1620" s="1" t="str">
        <f t="shared" si="223"/>
        <v>Центр надання адміністративних послуг Рогатинської міської ради</v>
      </c>
      <c r="G1620" s="1" t="str">
        <f t="shared" si="222"/>
        <v>Фізична особа</v>
      </c>
      <c r="H1620" s="1" t="s">
        <v>20</v>
      </c>
      <c r="I1620" s="1" t="s">
        <v>20</v>
      </c>
      <c r="J1620" s="1" t="str">
        <f t="shared" si="224"/>
        <v>Закрито</v>
      </c>
      <c r="K1620" s="5">
        <v>45610</v>
      </c>
      <c r="L1620" s="1" t="s">
        <v>20</v>
      </c>
      <c r="M1620" s="1" t="s">
        <v>22</v>
      </c>
      <c r="N1620" s="5">
        <v>45610</v>
      </c>
    </row>
    <row r="1621" spans="1:14" x14ac:dyDescent="0.3">
      <c r="A1621" s="1" t="str">
        <f>"24_337-11/2024/О"</f>
        <v>24_337-11/2024/О</v>
      </c>
      <c r="B1621" s="6">
        <v>45610</v>
      </c>
      <c r="C1621" s="1" t="str">
        <f>"00037"</f>
        <v>00037</v>
      </c>
      <c r="D1621" s="2" t="str">
        <f>"Зняття з реєстрації місця проживання"</f>
        <v>Зняття з реєстрації місця проживання</v>
      </c>
      <c r="E1621" s="1" t="s">
        <v>20</v>
      </c>
      <c r="F1621" s="1" t="str">
        <f t="shared" si="223"/>
        <v>Центр надання адміністративних послуг Рогатинської міської ради</v>
      </c>
      <c r="G1621" s="1" t="str">
        <f t="shared" si="222"/>
        <v>Фізична особа</v>
      </c>
      <c r="H1621" s="1" t="s">
        <v>20</v>
      </c>
      <c r="I1621" s="1" t="s">
        <v>20</v>
      </c>
      <c r="J1621" s="1" t="str">
        <f t="shared" si="224"/>
        <v>Закрито</v>
      </c>
      <c r="K1621" s="5">
        <v>45610</v>
      </c>
      <c r="L1621" s="1" t="s">
        <v>20</v>
      </c>
      <c r="M1621" s="1" t="s">
        <v>22</v>
      </c>
      <c r="N1621" s="5">
        <v>45610</v>
      </c>
    </row>
    <row r="1622" spans="1:14" x14ac:dyDescent="0.3">
      <c r="A1622" s="1" t="str">
        <f>"24_338-11/2024/О"</f>
        <v>24_338-11/2024/О</v>
      </c>
      <c r="B1622" s="6">
        <v>45610</v>
      </c>
      <c r="C1622" s="1" t="str">
        <f t="shared" ref="C1622:C1628" si="225">"00038"</f>
        <v>00038</v>
      </c>
      <c r="D1622" s="2" t="str">
        <f t="shared" ref="D1622:D1628" si="226"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22" s="1" t="s">
        <v>20</v>
      </c>
      <c r="F1622" s="1" t="str">
        <f t="shared" si="223"/>
        <v>Центр надання адміністративних послуг Рогатинської міської ради</v>
      </c>
      <c r="G1622" s="1" t="str">
        <f t="shared" si="222"/>
        <v>Фізична особа</v>
      </c>
      <c r="H1622" s="1" t="s">
        <v>20</v>
      </c>
      <c r="I1622" s="1" t="s">
        <v>20</v>
      </c>
      <c r="J1622" s="1" t="str">
        <f t="shared" si="224"/>
        <v>Закрито</v>
      </c>
      <c r="K1622" s="5">
        <v>45610</v>
      </c>
      <c r="L1622" s="1" t="s">
        <v>20</v>
      </c>
      <c r="M1622" s="1" t="s">
        <v>22</v>
      </c>
      <c r="N1622" s="5">
        <v>45610</v>
      </c>
    </row>
    <row r="1623" spans="1:14" x14ac:dyDescent="0.3">
      <c r="A1623" s="1" t="str">
        <f>"22_544-11/2024/П"</f>
        <v>22_544-11/2024/П</v>
      </c>
      <c r="B1623" s="6">
        <v>45610</v>
      </c>
      <c r="C1623" s="1" t="str">
        <f t="shared" si="225"/>
        <v>00038</v>
      </c>
      <c r="D1623" s="2" t="str">
        <f t="shared" si="226"/>
        <v>Видача довідки про реєстрацію місця проживання або місця перебування особи</v>
      </c>
      <c r="E1623" s="1" t="s">
        <v>20</v>
      </c>
      <c r="F1623" s="1" t="str">
        <f t="shared" si="223"/>
        <v>Центр надання адміністративних послуг Рогатинської міської ради</v>
      </c>
      <c r="G1623" s="1" t="str">
        <f t="shared" si="222"/>
        <v>Фізична особа</v>
      </c>
      <c r="H1623" s="1" t="s">
        <v>20</v>
      </c>
      <c r="I1623" s="1" t="s">
        <v>20</v>
      </c>
      <c r="J1623" s="1" t="str">
        <f t="shared" si="224"/>
        <v>Закрито</v>
      </c>
      <c r="K1623" s="5">
        <v>45610</v>
      </c>
      <c r="L1623" s="1" t="s">
        <v>20</v>
      </c>
      <c r="M1623" s="1" t="s">
        <v>22</v>
      </c>
      <c r="N1623" s="5">
        <v>45610</v>
      </c>
    </row>
    <row r="1624" spans="1:14" x14ac:dyDescent="0.3">
      <c r="A1624" s="1" t="str">
        <f>"6_375-11/2024/П"</f>
        <v>6_375-11/2024/П</v>
      </c>
      <c r="B1624" s="6">
        <v>45610</v>
      </c>
      <c r="C1624" s="1" t="str">
        <f t="shared" si="225"/>
        <v>00038</v>
      </c>
      <c r="D1624" s="2" t="str">
        <f t="shared" si="226"/>
        <v>Видача довідки про реєстрацію місця проживання або місця перебування особи</v>
      </c>
      <c r="E1624" s="1" t="s">
        <v>20</v>
      </c>
      <c r="F1624" s="1" t="str">
        <f t="shared" si="223"/>
        <v>Центр надання адміністративних послуг Рогатинської міської ради</v>
      </c>
      <c r="G1624" s="1" t="str">
        <f t="shared" si="222"/>
        <v>Фізична особа</v>
      </c>
      <c r="H1624" s="1" t="s">
        <v>20</v>
      </c>
      <c r="I1624" s="1" t="s">
        <v>20</v>
      </c>
      <c r="J1624" s="1" t="str">
        <f t="shared" si="224"/>
        <v>Закрито</v>
      </c>
      <c r="K1624" s="5">
        <v>45610</v>
      </c>
      <c r="L1624" s="1" t="s">
        <v>20</v>
      </c>
      <c r="M1624" s="1" t="s">
        <v>22</v>
      </c>
      <c r="N1624" s="5">
        <v>45610</v>
      </c>
    </row>
    <row r="1625" spans="1:14" x14ac:dyDescent="0.3">
      <c r="A1625" s="1" t="str">
        <f>"6_376-11/2024/Ф"</f>
        <v>6_376-11/2024/Ф</v>
      </c>
      <c r="B1625" s="6">
        <v>45610</v>
      </c>
      <c r="C1625" s="1" t="str">
        <f t="shared" si="225"/>
        <v>00038</v>
      </c>
      <c r="D1625" s="2" t="str">
        <f t="shared" si="226"/>
        <v>Видача довідки про реєстрацію місця проживання або місця перебування особи</v>
      </c>
      <c r="E1625" s="1" t="s">
        <v>20</v>
      </c>
      <c r="F1625" s="1" t="str">
        <f t="shared" si="223"/>
        <v>Центр надання адміністративних послуг Рогатинської міської ради</v>
      </c>
      <c r="G1625" s="1" t="str">
        <f t="shared" si="222"/>
        <v>Фізична особа</v>
      </c>
      <c r="H1625" s="1" t="s">
        <v>20</v>
      </c>
      <c r="I1625" s="1" t="s">
        <v>20</v>
      </c>
      <c r="J1625" s="1" t="str">
        <f t="shared" si="224"/>
        <v>Закрито</v>
      </c>
      <c r="K1625" s="5">
        <v>45610</v>
      </c>
      <c r="L1625" s="1" t="s">
        <v>20</v>
      </c>
      <c r="M1625" s="1" t="s">
        <v>22</v>
      </c>
      <c r="N1625" s="5">
        <v>45610</v>
      </c>
    </row>
    <row r="1626" spans="1:14" x14ac:dyDescent="0.3">
      <c r="A1626" s="1" t="str">
        <f>"22_545-11/2024/Я"</f>
        <v>22_545-11/2024/Я</v>
      </c>
      <c r="B1626" s="6">
        <v>45610</v>
      </c>
      <c r="C1626" s="1" t="str">
        <f t="shared" si="225"/>
        <v>00038</v>
      </c>
      <c r="D1626" s="2" t="str">
        <f t="shared" si="226"/>
        <v>Видача довідки про реєстрацію місця проживання або місця перебування особи</v>
      </c>
      <c r="E1626" s="1" t="s">
        <v>20</v>
      </c>
      <c r="F1626" s="1" t="str">
        <f t="shared" si="223"/>
        <v>Центр надання адміністративних послуг Рогатинської міської ради</v>
      </c>
      <c r="G1626" s="1" t="str">
        <f t="shared" si="222"/>
        <v>Фізична особа</v>
      </c>
      <c r="H1626" s="1" t="s">
        <v>20</v>
      </c>
      <c r="I1626" s="1" t="s">
        <v>20</v>
      </c>
      <c r="J1626" s="1" t="str">
        <f t="shared" si="224"/>
        <v>Закрито</v>
      </c>
      <c r="K1626" s="5">
        <v>45610</v>
      </c>
      <c r="L1626" s="1" t="s">
        <v>20</v>
      </c>
      <c r="M1626" s="1" t="s">
        <v>22</v>
      </c>
      <c r="N1626" s="5">
        <v>45610</v>
      </c>
    </row>
    <row r="1627" spans="1:14" x14ac:dyDescent="0.3">
      <c r="A1627" s="1" t="str">
        <f>"6_377-11/2024/Ф"</f>
        <v>6_377-11/2024/Ф</v>
      </c>
      <c r="B1627" s="6">
        <v>45610</v>
      </c>
      <c r="C1627" s="1" t="str">
        <f t="shared" si="225"/>
        <v>00038</v>
      </c>
      <c r="D1627" s="2" t="str">
        <f t="shared" si="226"/>
        <v>Видача довідки про реєстрацію місця проживання або місця перебування особи</v>
      </c>
      <c r="E1627" s="1" t="s">
        <v>20</v>
      </c>
      <c r="F1627" s="1" t="str">
        <f t="shared" si="223"/>
        <v>Центр надання адміністративних послуг Рогатинської міської ради</v>
      </c>
      <c r="G1627" s="1" t="str">
        <f t="shared" si="222"/>
        <v>Фізична особа</v>
      </c>
      <c r="H1627" s="1" t="s">
        <v>20</v>
      </c>
      <c r="I1627" s="1" t="s">
        <v>20</v>
      </c>
      <c r="J1627" s="1" t="str">
        <f t="shared" si="224"/>
        <v>Закрито</v>
      </c>
      <c r="K1627" s="5">
        <v>45610</v>
      </c>
      <c r="L1627" s="1" t="s">
        <v>20</v>
      </c>
      <c r="M1627" s="1" t="s">
        <v>22</v>
      </c>
      <c r="N1627" s="5">
        <v>45610</v>
      </c>
    </row>
    <row r="1628" spans="1:14" x14ac:dyDescent="0.3">
      <c r="A1628" s="1" t="str">
        <f>"7_20-11/2024/Я"</f>
        <v>7_20-11/2024/Я</v>
      </c>
      <c r="B1628" s="6">
        <v>45610</v>
      </c>
      <c r="C1628" s="1" t="str">
        <f t="shared" si="225"/>
        <v>00038</v>
      </c>
      <c r="D1628" s="2" t="str">
        <f t="shared" si="226"/>
        <v>Видача довідки про реєстрацію місця проживання або місця перебування особи</v>
      </c>
      <c r="E1628" s="1" t="s">
        <v>20</v>
      </c>
      <c r="F1628" s="1" t="str">
        <f t="shared" si="223"/>
        <v>Центр надання адміністративних послуг Рогатинської міської ради</v>
      </c>
      <c r="G1628" s="1" t="str">
        <f t="shared" si="222"/>
        <v>Фізична особа</v>
      </c>
      <c r="H1628" s="1" t="s">
        <v>20</v>
      </c>
      <c r="I1628" s="1" t="s">
        <v>20</v>
      </c>
      <c r="J1628" s="1" t="str">
        <f t="shared" si="224"/>
        <v>Закрито</v>
      </c>
      <c r="K1628" s="5">
        <v>45610</v>
      </c>
      <c r="L1628" s="1" t="s">
        <v>20</v>
      </c>
      <c r="M1628" s="1" t="s">
        <v>22</v>
      </c>
      <c r="N1628" s="5">
        <v>45610</v>
      </c>
    </row>
    <row r="1629" spans="1:14" x14ac:dyDescent="0.3">
      <c r="A1629" s="1" t="str">
        <f>"28_651-11/2024/Р"</f>
        <v>28_651-11/2024/Р</v>
      </c>
      <c r="B1629" s="6">
        <v>45610</v>
      </c>
      <c r="C1629" s="1" t="str">
        <f>"00155"</f>
        <v>00155</v>
      </c>
      <c r="D1629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629" s="1" t="str">
        <f>"03193413"</f>
        <v>03193413</v>
      </c>
      <c r="F162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629" s="1" t="str">
        <f t="shared" si="222"/>
        <v>Фізична особа</v>
      </c>
      <c r="H1629" s="1" t="s">
        <v>20</v>
      </c>
      <c r="I1629" s="1" t="s">
        <v>20</v>
      </c>
      <c r="J1629" s="1" t="str">
        <f t="shared" si="224"/>
        <v>Закрито</v>
      </c>
      <c r="K1629" s="5">
        <v>45621</v>
      </c>
      <c r="L1629" s="1" t="s">
        <v>20</v>
      </c>
      <c r="M1629" s="1" t="s">
        <v>22</v>
      </c>
      <c r="N1629" s="5">
        <v>45621</v>
      </c>
    </row>
    <row r="1630" spans="1:14" x14ac:dyDescent="0.3">
      <c r="A1630" s="1" t="str">
        <f>"15_338-11/2024/Ю"</f>
        <v>15_338-11/2024/Ю</v>
      </c>
      <c r="B1630" s="6">
        <v>45610</v>
      </c>
      <c r="C1630" s="1" t="str">
        <f>"33"</f>
        <v>33</v>
      </c>
      <c r="D1630" s="2" t="str">
        <f>"33 Довідки різного характеру"</f>
        <v>33 Довідки різного характеру</v>
      </c>
      <c r="E1630" s="1" t="s">
        <v>20</v>
      </c>
      <c r="F16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30" s="1" t="str">
        <f t="shared" si="222"/>
        <v>Фізична особа</v>
      </c>
      <c r="H1630" s="1" t="s">
        <v>20</v>
      </c>
      <c r="I1630" s="1" t="s">
        <v>20</v>
      </c>
      <c r="J1630" s="1" t="str">
        <f t="shared" si="224"/>
        <v>Закрито</v>
      </c>
      <c r="K1630" s="5">
        <v>45610</v>
      </c>
      <c r="L1630" s="1" t="s">
        <v>20</v>
      </c>
      <c r="M1630" s="1" t="s">
        <v>22</v>
      </c>
      <c r="N1630" s="5">
        <v>45610</v>
      </c>
    </row>
    <row r="1631" spans="1:14" x14ac:dyDescent="0.3">
      <c r="A1631" s="1" t="str">
        <f>"16_677-11/2024/Б"</f>
        <v>16_677-11/2024/Б</v>
      </c>
      <c r="B1631" s="6">
        <v>45610</v>
      </c>
      <c r="C1631" s="1" t="str">
        <f>"00038"</f>
        <v>00038</v>
      </c>
      <c r="D163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31" s="1" t="s">
        <v>20</v>
      </c>
      <c r="F16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31" s="1" t="str">
        <f t="shared" si="222"/>
        <v>Фізична особа</v>
      </c>
      <c r="H1631" s="1" t="s">
        <v>20</v>
      </c>
      <c r="I1631" s="1" t="s">
        <v>20</v>
      </c>
      <c r="J1631" s="1" t="str">
        <f t="shared" si="224"/>
        <v>Закрито</v>
      </c>
      <c r="K1631" s="5">
        <v>45610</v>
      </c>
      <c r="L1631" s="1" t="s">
        <v>20</v>
      </c>
      <c r="M1631" s="1" t="s">
        <v>22</v>
      </c>
      <c r="N1631" s="5">
        <v>45610</v>
      </c>
    </row>
    <row r="1632" spans="1:14" x14ac:dyDescent="0.3">
      <c r="A1632" s="1" t="str">
        <f>"10_122-11/2024/Г"</f>
        <v>10_122-11/2024/Г</v>
      </c>
      <c r="B1632" s="6">
        <v>45610</v>
      </c>
      <c r="C1632" s="1" t="str">
        <f>"00038"</f>
        <v>00038</v>
      </c>
      <c r="D163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32" s="1" t="s">
        <v>20</v>
      </c>
      <c r="F16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32" s="1" t="str">
        <f t="shared" si="222"/>
        <v>Фізична особа</v>
      </c>
      <c r="H1632" s="1" t="s">
        <v>20</v>
      </c>
      <c r="I1632" s="1" t="s">
        <v>20</v>
      </c>
      <c r="J1632" s="1" t="str">
        <f t="shared" si="224"/>
        <v>Закрито</v>
      </c>
      <c r="K1632" s="5">
        <v>45610</v>
      </c>
      <c r="L1632" s="1" t="s">
        <v>20</v>
      </c>
      <c r="M1632" s="1" t="s">
        <v>22</v>
      </c>
      <c r="N1632" s="5">
        <v>45610</v>
      </c>
    </row>
    <row r="1633" spans="1:14" x14ac:dyDescent="0.3">
      <c r="A1633" s="1" t="str">
        <f>"16_678-11/2024/Б"</f>
        <v>16_678-11/2024/Б</v>
      </c>
      <c r="B1633" s="6">
        <v>45610</v>
      </c>
      <c r="C1633" s="1" t="str">
        <f>"00038"</f>
        <v>00038</v>
      </c>
      <c r="D163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33" s="1" t="s">
        <v>20</v>
      </c>
      <c r="F163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33" s="1" t="str">
        <f t="shared" si="222"/>
        <v>Фізична особа</v>
      </c>
      <c r="H1633" s="1" t="s">
        <v>20</v>
      </c>
      <c r="I1633" s="1" t="s">
        <v>20</v>
      </c>
      <c r="J1633" s="1" t="str">
        <f>"Реєстрація"</f>
        <v>Реєстрація</v>
      </c>
      <c r="K1633" s="1" t="s">
        <v>20</v>
      </c>
      <c r="L1633" s="1" t="s">
        <v>20</v>
      </c>
      <c r="M1633" s="1" t="s">
        <v>22</v>
      </c>
      <c r="N1633" s="1" t="s">
        <v>20</v>
      </c>
    </row>
    <row r="1634" spans="1:14" x14ac:dyDescent="0.3">
      <c r="A1634" s="1" t="str">
        <f>"16_679-11/2024/Б"</f>
        <v>16_679-11/2024/Б</v>
      </c>
      <c r="B1634" s="6">
        <v>45610</v>
      </c>
      <c r="C1634" s="1" t="str">
        <f>"00038"</f>
        <v>00038</v>
      </c>
      <c r="D163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34" s="1" t="s">
        <v>20</v>
      </c>
      <c r="F16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34" s="1" t="str">
        <f t="shared" si="222"/>
        <v>Фізична особа</v>
      </c>
      <c r="H1634" s="1" t="s">
        <v>20</v>
      </c>
      <c r="I1634" s="1" t="s">
        <v>20</v>
      </c>
      <c r="J1634" s="1" t="str">
        <f>"Закрито"</f>
        <v>Закрито</v>
      </c>
      <c r="K1634" s="5">
        <v>45610</v>
      </c>
      <c r="L1634" s="1" t="s">
        <v>20</v>
      </c>
      <c r="M1634" s="1" t="s">
        <v>22</v>
      </c>
      <c r="N1634" s="5">
        <v>45610</v>
      </c>
    </row>
    <row r="1635" spans="1:14" x14ac:dyDescent="0.3">
      <c r="A1635" s="1" t="str">
        <f>"21_657-11/2024/С"</f>
        <v>21_657-11/2024/С</v>
      </c>
      <c r="B1635" s="6">
        <v>45610</v>
      </c>
      <c r="C1635" s="1" t="str">
        <f>"00133"</f>
        <v>00133</v>
      </c>
      <c r="D1635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635" s="1" t="str">
        <f>"03193413"</f>
        <v>03193413</v>
      </c>
      <c r="F163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635" s="1" t="str">
        <f t="shared" si="222"/>
        <v>Фізична особа</v>
      </c>
      <c r="H1635" s="1" t="s">
        <v>20</v>
      </c>
      <c r="I1635" s="1" t="s">
        <v>20</v>
      </c>
      <c r="J1635" s="1" t="str">
        <f>"Закрито"</f>
        <v>Закрито</v>
      </c>
      <c r="K1635" s="5">
        <v>45620</v>
      </c>
      <c r="L1635" s="1" t="s">
        <v>20</v>
      </c>
      <c r="M1635" s="1" t="s">
        <v>22</v>
      </c>
      <c r="N1635" s="5">
        <v>45620</v>
      </c>
    </row>
    <row r="1636" spans="1:14" x14ac:dyDescent="0.3">
      <c r="A1636" s="1" t="str">
        <f>"14_989-11/2024/Ч"</f>
        <v>14_989-11/2024/Ч</v>
      </c>
      <c r="B1636" s="6">
        <v>45610</v>
      </c>
      <c r="C1636" s="1" t="str">
        <f>"00096"</f>
        <v>00096</v>
      </c>
      <c r="D1636" s="2" t="str">
        <f>"Призначення державної соціальної допомоги особам, які не мають права на пенсію, та особам з інвалідністю"</f>
        <v>Призначення державної соціальної допомоги особам, які не мають права на пенсію, та особам з інвалідністю</v>
      </c>
      <c r="E1636" s="1" t="str">
        <f>"03193413"</f>
        <v>03193413</v>
      </c>
      <c r="F163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636" s="1" t="str">
        <f t="shared" si="222"/>
        <v>Фізична особа</v>
      </c>
      <c r="H1636" s="1" t="s">
        <v>20</v>
      </c>
      <c r="I1636" s="1" t="s">
        <v>20</v>
      </c>
      <c r="J1636" s="1" t="str">
        <f>"На обробці в СНАП"</f>
        <v>На обробці в СНАП</v>
      </c>
      <c r="K1636" s="1" t="s">
        <v>20</v>
      </c>
      <c r="L1636" s="1" t="s">
        <v>20</v>
      </c>
      <c r="M1636" s="1" t="s">
        <v>22</v>
      </c>
      <c r="N1636" s="1" t="s">
        <v>20</v>
      </c>
    </row>
    <row r="1637" spans="1:14" x14ac:dyDescent="0.3">
      <c r="A1637" s="1" t="str">
        <f>"16_680-11/2024/Б"</f>
        <v>16_680-11/2024/Б</v>
      </c>
      <c r="B1637" s="6">
        <v>45610</v>
      </c>
      <c r="C1637" s="1" t="str">
        <f>"00064"</f>
        <v>00064</v>
      </c>
      <c r="D1637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637" s="1" t="s">
        <v>20</v>
      </c>
      <c r="F1637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637" s="1" t="str">
        <f t="shared" si="222"/>
        <v>Фізична особа</v>
      </c>
      <c r="H1637" s="1" t="s">
        <v>20</v>
      </c>
      <c r="I1637" s="1" t="s">
        <v>20</v>
      </c>
      <c r="J1637" s="1" t="str">
        <f t="shared" ref="J1637:J1643" si="227">"Закрито"</f>
        <v>Закрито</v>
      </c>
      <c r="K1637" s="5">
        <v>45610</v>
      </c>
      <c r="L1637" s="1" t="s">
        <v>20</v>
      </c>
      <c r="M1637" s="1" t="s">
        <v>22</v>
      </c>
      <c r="N1637" s="5">
        <v>45610</v>
      </c>
    </row>
    <row r="1638" spans="1:14" x14ac:dyDescent="0.3">
      <c r="A1638" s="1" t="str">
        <f>"23_446-11/2024/Д"</f>
        <v>23_446-11/2024/Д</v>
      </c>
      <c r="B1638" s="6">
        <v>45610</v>
      </c>
      <c r="C1638" s="1" t="str">
        <f>"00064"</f>
        <v>00064</v>
      </c>
      <c r="D1638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638" s="1" t="s">
        <v>20</v>
      </c>
      <c r="F1638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638" s="1" t="str">
        <f t="shared" si="222"/>
        <v>Фізична особа</v>
      </c>
      <c r="H1638" s="1" t="s">
        <v>20</v>
      </c>
      <c r="I1638" s="1" t="s">
        <v>20</v>
      </c>
      <c r="J1638" s="1" t="str">
        <f t="shared" si="227"/>
        <v>Закрито</v>
      </c>
      <c r="K1638" s="5">
        <v>45610</v>
      </c>
      <c r="L1638" s="1" t="s">
        <v>20</v>
      </c>
      <c r="M1638" s="1" t="s">
        <v>22</v>
      </c>
      <c r="N1638" s="5">
        <v>45610</v>
      </c>
    </row>
    <row r="1639" spans="1:14" x14ac:dyDescent="0.3">
      <c r="A1639" s="1" t="str">
        <f>"14_990-11/2024/Ч"</f>
        <v>14_990-11/2024/Ч</v>
      </c>
      <c r="B1639" s="6">
        <v>45610</v>
      </c>
      <c r="C1639" s="1" t="str">
        <f>"33"</f>
        <v>33</v>
      </c>
      <c r="D1639" s="2" t="str">
        <f>"33 Довідки різного характеру"</f>
        <v>33 Довідки різного характеру</v>
      </c>
      <c r="E1639" s="1" t="s">
        <v>20</v>
      </c>
      <c r="F163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39" s="1" t="str">
        <f t="shared" si="222"/>
        <v>Фізична особа</v>
      </c>
      <c r="H1639" s="1" t="s">
        <v>20</v>
      </c>
      <c r="I1639" s="1" t="s">
        <v>20</v>
      </c>
      <c r="J1639" s="1" t="str">
        <f t="shared" si="227"/>
        <v>Закрито</v>
      </c>
      <c r="K1639" s="5">
        <v>45610</v>
      </c>
      <c r="L1639" s="1" t="s">
        <v>20</v>
      </c>
      <c r="M1639" s="1" t="s">
        <v>22</v>
      </c>
      <c r="N1639" s="5">
        <v>45610</v>
      </c>
    </row>
    <row r="1640" spans="1:14" x14ac:dyDescent="0.3">
      <c r="A1640" s="1" t="str">
        <f>"16_681-11/2024/Г"</f>
        <v>16_681-11/2024/Г</v>
      </c>
      <c r="B1640" s="6">
        <v>45610</v>
      </c>
      <c r="C1640" s="1" t="str">
        <f>"33"</f>
        <v>33</v>
      </c>
      <c r="D1640" s="2" t="str">
        <f>"33 Довідки різного характеру"</f>
        <v>33 Довідки різного характеру</v>
      </c>
      <c r="E1640" s="1" t="s">
        <v>20</v>
      </c>
      <c r="F164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40" s="1" t="str">
        <f t="shared" si="222"/>
        <v>Фізична особа</v>
      </c>
      <c r="H1640" s="1" t="s">
        <v>20</v>
      </c>
      <c r="I1640" s="1" t="s">
        <v>20</v>
      </c>
      <c r="J1640" s="1" t="str">
        <f t="shared" si="227"/>
        <v>Закрито</v>
      </c>
      <c r="K1640" s="5">
        <v>45610</v>
      </c>
      <c r="L1640" s="1" t="s">
        <v>20</v>
      </c>
      <c r="M1640" s="1" t="s">
        <v>22</v>
      </c>
      <c r="N1640" s="5">
        <v>45610</v>
      </c>
    </row>
    <row r="1641" spans="1:14" x14ac:dyDescent="0.3">
      <c r="A1641" s="1" t="str">
        <f>"33_415-11/2024/К"</f>
        <v>33_415-11/2024/К</v>
      </c>
      <c r="B1641" s="6">
        <v>45610</v>
      </c>
      <c r="C1641" s="1" t="str">
        <f>"33"</f>
        <v>33</v>
      </c>
      <c r="D1641" s="2" t="str">
        <f>"33 Довідки різного характеру"</f>
        <v>33 Довідки різного характеру</v>
      </c>
      <c r="E1641" s="1" t="s">
        <v>20</v>
      </c>
      <c r="F164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41" s="1" t="str">
        <f t="shared" si="222"/>
        <v>Фізична особа</v>
      </c>
      <c r="H1641" s="1" t="s">
        <v>20</v>
      </c>
      <c r="I1641" s="1" t="s">
        <v>20</v>
      </c>
      <c r="J1641" s="1" t="str">
        <f t="shared" si="227"/>
        <v>Закрито</v>
      </c>
      <c r="K1641" s="5">
        <v>45610</v>
      </c>
      <c r="L1641" s="1" t="s">
        <v>20</v>
      </c>
      <c r="M1641" s="1" t="s">
        <v>22</v>
      </c>
      <c r="N1641" s="5">
        <v>45610</v>
      </c>
    </row>
    <row r="1642" spans="1:14" x14ac:dyDescent="0.3">
      <c r="A1642" s="1" t="str">
        <f>"8_541-11/2024/О"</f>
        <v>8_541-11/2024/О</v>
      </c>
      <c r="B1642" s="6">
        <v>45610</v>
      </c>
      <c r="C1642" s="1" t="str">
        <f>"00038"</f>
        <v>00038</v>
      </c>
      <c r="D164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42" s="1" t="s">
        <v>20</v>
      </c>
      <c r="F164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42" s="1" t="str">
        <f t="shared" si="222"/>
        <v>Фізична особа</v>
      </c>
      <c r="H1642" s="1" t="s">
        <v>20</v>
      </c>
      <c r="I1642" s="1" t="s">
        <v>20</v>
      </c>
      <c r="J1642" s="1" t="str">
        <f t="shared" si="227"/>
        <v>Закрито</v>
      </c>
      <c r="K1642" s="5">
        <v>45610</v>
      </c>
      <c r="L1642" s="1" t="s">
        <v>20</v>
      </c>
      <c r="M1642" s="1" t="s">
        <v>22</v>
      </c>
      <c r="N1642" s="5">
        <v>45610</v>
      </c>
    </row>
    <row r="1643" spans="1:14" x14ac:dyDescent="0.3">
      <c r="A1643" s="1" t="str">
        <f>"8_542-11/2024/Т"</f>
        <v>8_542-11/2024/Т</v>
      </c>
      <c r="B1643" s="6">
        <v>45610</v>
      </c>
      <c r="C1643" s="1" t="str">
        <f>"33"</f>
        <v>33</v>
      </c>
      <c r="D1643" s="2" t="str">
        <f>"33 Довідки різного характеру"</f>
        <v>33 Довідки різного характеру</v>
      </c>
      <c r="E1643" s="1" t="s">
        <v>20</v>
      </c>
      <c r="F164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43" s="1" t="str">
        <f t="shared" si="222"/>
        <v>Фізична особа</v>
      </c>
      <c r="H1643" s="1" t="s">
        <v>20</v>
      </c>
      <c r="I1643" s="1" t="s">
        <v>20</v>
      </c>
      <c r="J1643" s="1" t="str">
        <f t="shared" si="227"/>
        <v>Закрито</v>
      </c>
      <c r="K1643" s="5">
        <v>45610</v>
      </c>
      <c r="L1643" s="1" t="s">
        <v>20</v>
      </c>
      <c r="M1643" s="1" t="s">
        <v>22</v>
      </c>
      <c r="N1643" s="5">
        <v>45610</v>
      </c>
    </row>
    <row r="1644" spans="1:14" x14ac:dyDescent="0.3">
      <c r="A1644" s="1" t="str">
        <f>"4_974-11/2024/Г"</f>
        <v>4_974-11/2024/Г</v>
      </c>
      <c r="B1644" s="6">
        <v>45610</v>
      </c>
      <c r="C1644" s="1" t="str">
        <f>"00103"</f>
        <v>00103</v>
      </c>
      <c r="D1644" s="2" t="s">
        <v>1</v>
      </c>
      <c r="E1644" s="1" t="str">
        <f>"03193413"</f>
        <v>03193413</v>
      </c>
      <c r="F164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644" s="1" t="str">
        <f t="shared" si="222"/>
        <v>Фізична особа</v>
      </c>
      <c r="H1644" s="1" t="s">
        <v>20</v>
      </c>
      <c r="I1644" s="1" t="s">
        <v>20</v>
      </c>
      <c r="J1644" s="1" t="str">
        <f>"Заявника сповіщено про результат"</f>
        <v>Заявника сповіщено про результат</v>
      </c>
      <c r="K1644" s="5">
        <v>45619</v>
      </c>
      <c r="L1644" s="1" t="s">
        <v>20</v>
      </c>
      <c r="M1644" s="1" t="s">
        <v>22</v>
      </c>
      <c r="N1644" s="5">
        <v>45632</v>
      </c>
    </row>
    <row r="1645" spans="1:14" x14ac:dyDescent="0.3">
      <c r="A1645" s="1" t="str">
        <f>"4_975-11/2024/В"</f>
        <v>4_975-11/2024/В</v>
      </c>
      <c r="B1645" s="6">
        <v>45610</v>
      </c>
      <c r="C1645" s="1" t="str">
        <f>"00155"</f>
        <v>00155</v>
      </c>
      <c r="D1645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645" s="1" t="str">
        <f>"03193413"</f>
        <v>03193413</v>
      </c>
      <c r="F164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645" s="1" t="str">
        <f t="shared" si="222"/>
        <v>Фізична особа</v>
      </c>
      <c r="H1645" s="1" t="s">
        <v>20</v>
      </c>
      <c r="I1645" s="1" t="s">
        <v>20</v>
      </c>
      <c r="J1645" s="1" t="str">
        <f>"Заявника сповіщено про результат"</f>
        <v>Заявника сповіщено про результат</v>
      </c>
      <c r="K1645" s="5">
        <v>45620</v>
      </c>
      <c r="L1645" s="1" t="s">
        <v>20</v>
      </c>
      <c r="M1645" s="1" t="s">
        <v>22</v>
      </c>
      <c r="N1645" s="5">
        <v>45638</v>
      </c>
    </row>
    <row r="1646" spans="1:14" x14ac:dyDescent="0.3">
      <c r="A1646" s="1" t="str">
        <f>"4_976-11/2024/В"</f>
        <v>4_976-11/2024/В</v>
      </c>
      <c r="B1646" s="6">
        <v>45610</v>
      </c>
      <c r="C1646" s="1" t="str">
        <f>"33"</f>
        <v>33</v>
      </c>
      <c r="D1646" s="2" t="str">
        <f>"33 Довідки різного характеру"</f>
        <v>33 Довідки різного характеру</v>
      </c>
      <c r="E1646" s="1" t="s">
        <v>20</v>
      </c>
      <c r="F164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46" s="1" t="str">
        <f t="shared" si="222"/>
        <v>Фізична особа</v>
      </c>
      <c r="H1646" s="1" t="s">
        <v>20</v>
      </c>
      <c r="I1646" s="1" t="s">
        <v>20</v>
      </c>
      <c r="J1646" s="1" t="str">
        <f>"Закрито"</f>
        <v>Закрито</v>
      </c>
      <c r="K1646" s="5">
        <v>45610</v>
      </c>
      <c r="L1646" s="1" t="s">
        <v>20</v>
      </c>
      <c r="M1646" s="1" t="s">
        <v>22</v>
      </c>
      <c r="N1646" s="5">
        <v>45610</v>
      </c>
    </row>
    <row r="1647" spans="1:14" x14ac:dyDescent="0.3">
      <c r="A1647" s="1" t="str">
        <f>"4_977-11/2024/К"</f>
        <v>4_977-11/2024/К</v>
      </c>
      <c r="B1647" s="6">
        <v>45610</v>
      </c>
      <c r="C1647" s="1" t="str">
        <f>"33"</f>
        <v>33</v>
      </c>
      <c r="D1647" s="2" t="str">
        <f>"33 Довідки різного характеру"</f>
        <v>33 Довідки різного характеру</v>
      </c>
      <c r="E1647" s="1" t="s">
        <v>20</v>
      </c>
      <c r="F164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47" s="1" t="str">
        <f t="shared" si="222"/>
        <v>Фізична особа</v>
      </c>
      <c r="H1647" s="1" t="s">
        <v>20</v>
      </c>
      <c r="I1647" s="1" t="s">
        <v>20</v>
      </c>
      <c r="J1647" s="1" t="str">
        <f>"Закрито"</f>
        <v>Закрито</v>
      </c>
      <c r="K1647" s="5">
        <v>45610</v>
      </c>
      <c r="L1647" s="1" t="s">
        <v>20</v>
      </c>
      <c r="M1647" s="1" t="s">
        <v>22</v>
      </c>
      <c r="N1647" s="5">
        <v>45610</v>
      </c>
    </row>
    <row r="1648" spans="1:14" x14ac:dyDescent="0.3">
      <c r="A1648" s="1" t="str">
        <f>"4_978-11/2024/п"</f>
        <v>4_978-11/2024/п</v>
      </c>
      <c r="B1648" s="6">
        <v>45610</v>
      </c>
      <c r="C1648" s="1" t="str">
        <f>"01495"</f>
        <v>01495</v>
      </c>
      <c r="D1648" s="2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1648" s="1" t="s">
        <v>20</v>
      </c>
      <c r="F164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48" s="1" t="str">
        <f>"Юридична особа"</f>
        <v>Юридична особа</v>
      </c>
      <c r="H1648" s="1" t="str">
        <f>"приватний нотаріус Клід Оксана Ярославівна Івано-Франківський районний нотаріальний округ Івано-Франківської області"</f>
        <v>приватний нотаріус Клід Оксана Ярославівна Івано-Франківський районний нотаріальний округ Івано-Франківської області</v>
      </c>
      <c r="I1648" s="1" t="s">
        <v>20</v>
      </c>
      <c r="J1648" s="1" t="str">
        <f>"Закрито"</f>
        <v>Закрито</v>
      </c>
      <c r="K1648" s="5">
        <v>45610</v>
      </c>
      <c r="L1648" s="1" t="s">
        <v>20</v>
      </c>
      <c r="M1648" s="1" t="s">
        <v>22</v>
      </c>
      <c r="N1648" s="5">
        <v>45610</v>
      </c>
    </row>
    <row r="1649" spans="1:14" x14ac:dyDescent="0.3">
      <c r="A1649" s="1" t="str">
        <f>"4_979-11/2024/п"</f>
        <v>4_979-11/2024/п</v>
      </c>
      <c r="B1649" s="6">
        <v>45610</v>
      </c>
      <c r="C1649" s="1" t="str">
        <f>"01495"</f>
        <v>01495</v>
      </c>
      <c r="D1649" s="2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1649" s="1" t="s">
        <v>20</v>
      </c>
      <c r="F164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49" s="1" t="str">
        <f>"Юридична особа"</f>
        <v>Юридична особа</v>
      </c>
      <c r="H1649" s="1" t="str">
        <f>"приватний нотаріус Клід Оксана Ярославівна Івано-Франківський районний нотаріальний округ Івано-Франківської області"</f>
        <v>приватний нотаріус Клід Оксана Ярославівна Івано-Франківський районний нотаріальний округ Івано-Франківської області</v>
      </c>
      <c r="I1649" s="1" t="s">
        <v>20</v>
      </c>
      <c r="J1649" s="1" t="str">
        <f>"Закрито"</f>
        <v>Закрито</v>
      </c>
      <c r="K1649" s="5">
        <v>45610</v>
      </c>
      <c r="L1649" s="1" t="s">
        <v>20</v>
      </c>
      <c r="M1649" s="1" t="s">
        <v>22</v>
      </c>
      <c r="N1649" s="5">
        <v>45610</v>
      </c>
    </row>
    <row r="1650" spans="1:14" x14ac:dyDescent="0.3">
      <c r="A1650" s="1" t="str">
        <f>"18_629-11/2024/Р"</f>
        <v>18_629-11/2024/Р</v>
      </c>
      <c r="B1650" s="6">
        <v>45610</v>
      </c>
      <c r="C1650" s="1" t="str">
        <f>"00103"</f>
        <v>00103</v>
      </c>
      <c r="D1650" s="2" t="s">
        <v>1</v>
      </c>
      <c r="E1650" s="1" t="str">
        <f>"03193413"</f>
        <v>03193413</v>
      </c>
      <c r="F165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650" s="1" t="str">
        <f t="shared" ref="G1650:G1693" si="228">"Фізична особа"</f>
        <v>Фізична особа</v>
      </c>
      <c r="H1650" s="1" t="s">
        <v>20</v>
      </c>
      <c r="I1650" s="1" t="s">
        <v>20</v>
      </c>
      <c r="J1650" s="1" t="str">
        <f>"На обробці в СНАП"</f>
        <v>На обробці в СНАП</v>
      </c>
      <c r="K1650" s="1" t="s">
        <v>20</v>
      </c>
      <c r="L1650" s="1" t="s">
        <v>20</v>
      </c>
      <c r="M1650" s="1" t="s">
        <v>22</v>
      </c>
      <c r="N1650" s="1" t="s">
        <v>20</v>
      </c>
    </row>
    <row r="1651" spans="1:14" x14ac:dyDescent="0.3">
      <c r="A1651" s="1" t="str">
        <f>"18_630-11/2024/Р"</f>
        <v>18_630-11/2024/Р</v>
      </c>
      <c r="B1651" s="6">
        <v>45610</v>
      </c>
      <c r="C1651" s="1" t="str">
        <f>"33"</f>
        <v>33</v>
      </c>
      <c r="D1651" s="2" t="str">
        <f>"33 Довідки різного характеру"</f>
        <v>33 Довідки різного характеру</v>
      </c>
      <c r="E1651" s="1" t="s">
        <v>20</v>
      </c>
      <c r="F16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51" s="1" t="str">
        <f t="shared" si="228"/>
        <v>Фізична особа</v>
      </c>
      <c r="H1651" s="1" t="s">
        <v>20</v>
      </c>
      <c r="I1651" s="1" t="s">
        <v>20</v>
      </c>
      <c r="J1651" s="1" t="str">
        <f t="shared" ref="J1651:J1668" si="229">"Закрито"</f>
        <v>Закрито</v>
      </c>
      <c r="K1651" s="5">
        <v>45610</v>
      </c>
      <c r="L1651" s="1" t="s">
        <v>20</v>
      </c>
      <c r="M1651" s="1" t="s">
        <v>22</v>
      </c>
      <c r="N1651" s="5">
        <v>45610</v>
      </c>
    </row>
    <row r="1652" spans="1:14" x14ac:dyDescent="0.3">
      <c r="A1652" s="1" t="str">
        <f>"25_431-11/2024/Б"</f>
        <v>25_431-11/2024/Б</v>
      </c>
      <c r="B1652" s="6">
        <v>45610</v>
      </c>
      <c r="C1652" s="1" t="str">
        <f>"00034"</f>
        <v>00034</v>
      </c>
      <c r="D1652" s="2" t="str">
        <f>"Реєстрація місця проживання"</f>
        <v>Реєстрація місця проживання</v>
      </c>
      <c r="E1652" s="1" t="s">
        <v>20</v>
      </c>
      <c r="F16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52" s="1" t="str">
        <f t="shared" si="228"/>
        <v>Фізична особа</v>
      </c>
      <c r="H1652" s="1" t="s">
        <v>20</v>
      </c>
      <c r="I1652" s="1" t="s">
        <v>20</v>
      </c>
      <c r="J1652" s="1" t="str">
        <f t="shared" si="229"/>
        <v>Закрито</v>
      </c>
      <c r="K1652" s="1" t="s">
        <v>20</v>
      </c>
      <c r="L1652" s="1" t="s">
        <v>20</v>
      </c>
      <c r="M1652" s="1" t="s">
        <v>22</v>
      </c>
      <c r="N1652" s="1" t="s">
        <v>20</v>
      </c>
    </row>
    <row r="1653" spans="1:14" x14ac:dyDescent="0.3">
      <c r="A1653" s="1" t="str">
        <f>"18_631-11/2024/Р"</f>
        <v>18_631-11/2024/Р</v>
      </c>
      <c r="B1653" s="6">
        <v>45610</v>
      </c>
      <c r="C1653" s="1" t="str">
        <f>"00038"</f>
        <v>00038</v>
      </c>
      <c r="D165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53" s="1" t="s">
        <v>20</v>
      </c>
      <c r="F16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53" s="1" t="str">
        <f t="shared" si="228"/>
        <v>Фізична особа</v>
      </c>
      <c r="H1653" s="1" t="s">
        <v>20</v>
      </c>
      <c r="I1653" s="1" t="s">
        <v>20</v>
      </c>
      <c r="J1653" s="1" t="str">
        <f t="shared" si="229"/>
        <v>Закрито</v>
      </c>
      <c r="K1653" s="5">
        <v>45610</v>
      </c>
      <c r="L1653" s="1" t="s">
        <v>20</v>
      </c>
      <c r="M1653" s="1" t="s">
        <v>22</v>
      </c>
      <c r="N1653" s="5">
        <v>45610</v>
      </c>
    </row>
    <row r="1654" spans="1:14" x14ac:dyDescent="0.3">
      <c r="A1654" s="1" t="str">
        <f>"25_432-11/2024/О"</f>
        <v>25_432-11/2024/О</v>
      </c>
      <c r="B1654" s="6">
        <v>45610</v>
      </c>
      <c r="C1654" s="1" t="str">
        <f>"00037"</f>
        <v>00037</v>
      </c>
      <c r="D1654" s="2" t="str">
        <f>"Зняття з реєстрації місця проживання"</f>
        <v>Зняття з реєстрації місця проживання</v>
      </c>
      <c r="E1654" s="1" t="s">
        <v>20</v>
      </c>
      <c r="F165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54" s="1" t="str">
        <f t="shared" si="228"/>
        <v>Фізична особа</v>
      </c>
      <c r="H1654" s="1" t="s">
        <v>20</v>
      </c>
      <c r="I1654" s="1" t="s">
        <v>20</v>
      </c>
      <c r="J1654" s="1" t="str">
        <f t="shared" si="229"/>
        <v>Закрито</v>
      </c>
      <c r="K1654" s="5">
        <v>45610</v>
      </c>
      <c r="L1654" s="1" t="s">
        <v>20</v>
      </c>
      <c r="M1654" s="1" t="s">
        <v>22</v>
      </c>
      <c r="N1654" s="5">
        <v>45610</v>
      </c>
    </row>
    <row r="1655" spans="1:14" x14ac:dyDescent="0.3">
      <c r="A1655" s="1" t="str">
        <f>"18_632-11/2024/Р"</f>
        <v>18_632-11/2024/Р</v>
      </c>
      <c r="B1655" s="6">
        <v>45610</v>
      </c>
      <c r="C1655" s="1" t="str">
        <f>"00038"</f>
        <v>00038</v>
      </c>
      <c r="D165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55" s="1" t="s">
        <v>20</v>
      </c>
      <c r="F165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55" s="1" t="str">
        <f t="shared" si="228"/>
        <v>Фізична особа</v>
      </c>
      <c r="H1655" s="1" t="s">
        <v>20</v>
      </c>
      <c r="I1655" s="1" t="s">
        <v>20</v>
      </c>
      <c r="J1655" s="1" t="str">
        <f t="shared" si="229"/>
        <v>Закрито</v>
      </c>
      <c r="K1655" s="5">
        <v>45610</v>
      </c>
      <c r="L1655" s="1" t="s">
        <v>20</v>
      </c>
      <c r="M1655" s="1" t="s">
        <v>22</v>
      </c>
      <c r="N1655" s="5">
        <v>45610</v>
      </c>
    </row>
    <row r="1656" spans="1:14" x14ac:dyDescent="0.3">
      <c r="A1656" s="1" t="str">
        <f>"25_433-11/2024/Б"</f>
        <v>25_433-11/2024/Б</v>
      </c>
      <c r="B1656" s="6">
        <v>45610</v>
      </c>
      <c r="C1656" s="1" t="str">
        <f>"00064"</f>
        <v>00064</v>
      </c>
      <c r="D1656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656" s="1" t="s">
        <v>20</v>
      </c>
      <c r="F1656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656" s="1" t="str">
        <f t="shared" si="228"/>
        <v>Фізична особа</v>
      </c>
      <c r="H1656" s="1" t="s">
        <v>20</v>
      </c>
      <c r="I1656" s="1" t="s">
        <v>20</v>
      </c>
      <c r="J1656" s="1" t="str">
        <f t="shared" si="229"/>
        <v>Закрито</v>
      </c>
      <c r="K1656" s="1" t="s">
        <v>20</v>
      </c>
      <c r="L1656" s="1" t="s">
        <v>20</v>
      </c>
      <c r="M1656" s="1" t="s">
        <v>22</v>
      </c>
      <c r="N1656" s="1" t="s">
        <v>20</v>
      </c>
    </row>
    <row r="1657" spans="1:14" x14ac:dyDescent="0.3">
      <c r="A1657" s="1" t="str">
        <f>"18_633-11/2024/Р"</f>
        <v>18_633-11/2024/Р</v>
      </c>
      <c r="B1657" s="6">
        <v>45610</v>
      </c>
      <c r="C1657" s="1" t="str">
        <f>"00038"</f>
        <v>00038</v>
      </c>
      <c r="D165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57" s="1" t="s">
        <v>20</v>
      </c>
      <c r="F16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57" s="1" t="str">
        <f t="shared" si="228"/>
        <v>Фізична особа</v>
      </c>
      <c r="H1657" s="1" t="s">
        <v>20</v>
      </c>
      <c r="I1657" s="1" t="s">
        <v>20</v>
      </c>
      <c r="J1657" s="1" t="str">
        <f t="shared" si="229"/>
        <v>Закрито</v>
      </c>
      <c r="K1657" s="5">
        <v>45610</v>
      </c>
      <c r="L1657" s="1" t="s">
        <v>20</v>
      </c>
      <c r="M1657" s="1" t="s">
        <v>22</v>
      </c>
      <c r="N1657" s="5">
        <v>45610</v>
      </c>
    </row>
    <row r="1658" spans="1:14" x14ac:dyDescent="0.3">
      <c r="A1658" s="1" t="str">
        <f>"12_872-11/2024/Ч"</f>
        <v>12_872-11/2024/Ч</v>
      </c>
      <c r="B1658" s="6">
        <v>45610</v>
      </c>
      <c r="C1658" s="1" t="str">
        <f>"00038"</f>
        <v>00038</v>
      </c>
      <c r="D165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58" s="1" t="s">
        <v>20</v>
      </c>
      <c r="F165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58" s="1" t="str">
        <f t="shared" si="228"/>
        <v>Фізична особа</v>
      </c>
      <c r="H1658" s="1" t="s">
        <v>20</v>
      </c>
      <c r="I1658" s="1" t="s">
        <v>20</v>
      </c>
      <c r="J1658" s="1" t="str">
        <f t="shared" si="229"/>
        <v>Закрито</v>
      </c>
      <c r="K1658" s="5">
        <v>45610</v>
      </c>
      <c r="L1658" s="1" t="s">
        <v>20</v>
      </c>
      <c r="M1658" s="1" t="s">
        <v>22</v>
      </c>
      <c r="N1658" s="5">
        <v>45610</v>
      </c>
    </row>
    <row r="1659" spans="1:14" x14ac:dyDescent="0.3">
      <c r="A1659" s="1" t="str">
        <f>"12_873-11/2024/Ч"</f>
        <v>12_873-11/2024/Ч</v>
      </c>
      <c r="B1659" s="6">
        <v>45610</v>
      </c>
      <c r="C1659" s="1" t="str">
        <f>"00133"</f>
        <v>00133</v>
      </c>
      <c r="D1659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659" s="1" t="str">
        <f>"03193413"</f>
        <v>03193413</v>
      </c>
      <c r="F165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659" s="1" t="str">
        <f t="shared" si="228"/>
        <v>Фізична особа</v>
      </c>
      <c r="H1659" s="1" t="s">
        <v>20</v>
      </c>
      <c r="I1659" s="1" t="s">
        <v>20</v>
      </c>
      <c r="J1659" s="1" t="str">
        <f t="shared" si="229"/>
        <v>Закрито</v>
      </c>
      <c r="K1659" s="5">
        <v>45632</v>
      </c>
      <c r="L1659" s="1" t="s">
        <v>20</v>
      </c>
      <c r="M1659" s="1" t="s">
        <v>22</v>
      </c>
      <c r="N1659" s="5">
        <v>45648</v>
      </c>
    </row>
    <row r="1660" spans="1:14" x14ac:dyDescent="0.3">
      <c r="A1660" s="1" t="str">
        <f>"22_546-11/2024/З"</f>
        <v>22_546-11/2024/З</v>
      </c>
      <c r="B1660" s="6">
        <v>45610</v>
      </c>
      <c r="C1660" s="1" t="str">
        <f>"00155"</f>
        <v>00155</v>
      </c>
      <c r="D1660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660" s="1" t="str">
        <f>"03193413"</f>
        <v>03193413</v>
      </c>
      <c r="F166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660" s="1" t="str">
        <f t="shared" si="228"/>
        <v>Фізична особа</v>
      </c>
      <c r="H1660" s="1" t="s">
        <v>20</v>
      </c>
      <c r="I1660" s="1" t="s">
        <v>20</v>
      </c>
      <c r="J1660" s="1" t="str">
        <f t="shared" si="229"/>
        <v>Закрито</v>
      </c>
      <c r="K1660" s="1" t="s">
        <v>20</v>
      </c>
      <c r="L1660" s="1" t="s">
        <v>20</v>
      </c>
      <c r="M1660" s="1" t="s">
        <v>22</v>
      </c>
      <c r="N1660" s="1" t="s">
        <v>20</v>
      </c>
    </row>
    <row r="1661" spans="1:14" x14ac:dyDescent="0.3">
      <c r="A1661" s="1" t="str">
        <f>"22_547-11/2024/П"</f>
        <v>22_547-11/2024/П</v>
      </c>
      <c r="B1661" s="6">
        <v>45610</v>
      </c>
      <c r="C1661" s="1" t="str">
        <f>"00144"</f>
        <v>00144</v>
      </c>
      <c r="D1661" s="2" t="str">
        <f>"Призначення державної допомоги при народженні дитини"</f>
        <v>Призначення державної допомоги при народженні дитини</v>
      </c>
      <c r="E1661" s="1" t="str">
        <f>"03193413"</f>
        <v>03193413</v>
      </c>
      <c r="F166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661" s="1" t="str">
        <f t="shared" si="228"/>
        <v>Фізична особа</v>
      </c>
      <c r="H1661" s="1" t="s">
        <v>20</v>
      </c>
      <c r="I1661" s="1" t="s">
        <v>20</v>
      </c>
      <c r="J1661" s="1" t="str">
        <f t="shared" si="229"/>
        <v>Закрито</v>
      </c>
      <c r="K1661" s="1" t="s">
        <v>20</v>
      </c>
      <c r="L1661" s="1" t="s">
        <v>20</v>
      </c>
      <c r="M1661" s="1" t="s">
        <v>22</v>
      </c>
      <c r="N1661" s="1" t="s">
        <v>20</v>
      </c>
    </row>
    <row r="1662" spans="1:14" x14ac:dyDescent="0.3">
      <c r="A1662" s="1" t="str">
        <f>"6_351/2129-11/2024/Ф"</f>
        <v>6_351/2129-11/2024/Ф</v>
      </c>
      <c r="B1662" s="6">
        <v>45611</v>
      </c>
      <c r="C1662" s="1" t="str">
        <f>"01376"</f>
        <v>01376</v>
      </c>
      <c r="D1662" s="2" t="str">
        <f>"Реєстрація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(СС1)"</f>
        <v>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</v>
      </c>
      <c r="E1662" s="1" t="s">
        <v>20</v>
      </c>
      <c r="F1662" s="1" t="str">
        <f t="shared" ref="F1662:F1668" si="230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62" s="1" t="str">
        <f t="shared" si="228"/>
        <v>Фізична особа</v>
      </c>
      <c r="H1662" s="1" t="s">
        <v>20</v>
      </c>
      <c r="I1662" s="1" t="s">
        <v>20</v>
      </c>
      <c r="J1662" s="1" t="str">
        <f t="shared" si="229"/>
        <v>Закрито</v>
      </c>
      <c r="K1662" s="5">
        <v>45614</v>
      </c>
      <c r="L1662" s="1" t="s">
        <v>20</v>
      </c>
      <c r="M1662" s="1" t="s">
        <v>22</v>
      </c>
      <c r="N1662" s="5">
        <v>45614</v>
      </c>
    </row>
    <row r="1663" spans="1:14" x14ac:dyDescent="0.3">
      <c r="A1663" s="1" t="str">
        <f>"1_5839/2129-11/2024/Г"</f>
        <v>1_5839/2129-11/2024/Г</v>
      </c>
      <c r="B1663" s="6">
        <v>45611</v>
      </c>
      <c r="C1663" s="1" t="str">
        <f>"00038"</f>
        <v>00038</v>
      </c>
      <c r="D166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63" s="1" t="s">
        <v>20</v>
      </c>
      <c r="F1663" s="1" t="str">
        <f t="shared" si="230"/>
        <v>Центр надання адміністративних послуг Рогатинської міської ради</v>
      </c>
      <c r="G1663" s="1" t="str">
        <f t="shared" si="228"/>
        <v>Фізична особа</v>
      </c>
      <c r="H1663" s="1" t="s">
        <v>20</v>
      </c>
      <c r="I1663" s="1" t="s">
        <v>20</v>
      </c>
      <c r="J1663" s="1" t="str">
        <f t="shared" si="229"/>
        <v>Закрито</v>
      </c>
      <c r="K1663" s="5">
        <v>45611</v>
      </c>
      <c r="L1663" s="1" t="s">
        <v>20</v>
      </c>
      <c r="M1663" s="1" t="s">
        <v>22</v>
      </c>
      <c r="N1663" s="5">
        <v>45611</v>
      </c>
    </row>
    <row r="1664" spans="1:14" x14ac:dyDescent="0.3">
      <c r="A1664" s="1" t="str">
        <f>"1_5840/2129-11/2024/Г"</f>
        <v>1_5840/2129-11/2024/Г</v>
      </c>
      <c r="B1664" s="6">
        <v>45611</v>
      </c>
      <c r="C1664" s="1" t="str">
        <f>"00038"</f>
        <v>00038</v>
      </c>
      <c r="D166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64" s="1" t="s">
        <v>20</v>
      </c>
      <c r="F1664" s="1" t="str">
        <f t="shared" si="230"/>
        <v>Центр надання адміністративних послуг Рогатинської міської ради</v>
      </c>
      <c r="G1664" s="1" t="str">
        <f t="shared" si="228"/>
        <v>Фізична особа</v>
      </c>
      <c r="H1664" s="1" t="s">
        <v>20</v>
      </c>
      <c r="I1664" s="1" t="s">
        <v>20</v>
      </c>
      <c r="J1664" s="1" t="str">
        <f t="shared" si="229"/>
        <v>Закрито</v>
      </c>
      <c r="K1664" s="5">
        <v>45611</v>
      </c>
      <c r="L1664" s="1" t="s">
        <v>20</v>
      </c>
      <c r="M1664" s="1" t="s">
        <v>22</v>
      </c>
      <c r="N1664" s="5">
        <v>45611</v>
      </c>
    </row>
    <row r="1665" spans="1:14" x14ac:dyDescent="0.3">
      <c r="A1665" s="1" t="str">
        <f>"1_5841/2129-11/2024/Г"</f>
        <v>1_5841/2129-11/2024/Г</v>
      </c>
      <c r="B1665" s="6">
        <v>45611</v>
      </c>
      <c r="C1665" s="1" t="str">
        <f>"00038"</f>
        <v>00038</v>
      </c>
      <c r="D166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65" s="1" t="s">
        <v>20</v>
      </c>
      <c r="F1665" s="1" t="str">
        <f t="shared" si="230"/>
        <v>Центр надання адміністративних послуг Рогатинської міської ради</v>
      </c>
      <c r="G1665" s="1" t="str">
        <f t="shared" si="228"/>
        <v>Фізична особа</v>
      </c>
      <c r="H1665" s="1" t="s">
        <v>20</v>
      </c>
      <c r="I1665" s="1" t="s">
        <v>20</v>
      </c>
      <c r="J1665" s="1" t="str">
        <f t="shared" si="229"/>
        <v>Закрито</v>
      </c>
      <c r="K1665" s="5">
        <v>45611</v>
      </c>
      <c r="L1665" s="1" t="s">
        <v>20</v>
      </c>
      <c r="M1665" s="1" t="s">
        <v>22</v>
      </c>
      <c r="N1665" s="5">
        <v>45611</v>
      </c>
    </row>
    <row r="1666" spans="1:14" x14ac:dyDescent="0.3">
      <c r="A1666" s="1" t="str">
        <f>"5_503/2129-11/2024/К"</f>
        <v>5_503/2129-11/2024/К</v>
      </c>
      <c r="B1666" s="6">
        <v>45611</v>
      </c>
      <c r="C1666" s="1" t="str">
        <f>"00234"</f>
        <v>00234</v>
      </c>
      <c r="D1666" s="2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1666" s="1" t="s">
        <v>20</v>
      </c>
      <c r="F1666" s="1" t="str">
        <f t="shared" si="230"/>
        <v>Центр надання адміністративних послуг Рогатинської міської ради</v>
      </c>
      <c r="G1666" s="1" t="str">
        <f t="shared" si="228"/>
        <v>Фізична особа</v>
      </c>
      <c r="H1666" s="1" t="s">
        <v>20</v>
      </c>
      <c r="I1666" s="1" t="s">
        <v>20</v>
      </c>
      <c r="J1666" s="1" t="str">
        <f t="shared" si="229"/>
        <v>Закрито</v>
      </c>
      <c r="K1666" s="5">
        <v>45611</v>
      </c>
      <c r="L1666" s="1" t="s">
        <v>20</v>
      </c>
      <c r="M1666" s="1" t="s">
        <v>22</v>
      </c>
      <c r="N1666" s="5">
        <v>45611</v>
      </c>
    </row>
    <row r="1667" spans="1:14" x14ac:dyDescent="0.3">
      <c r="A1667" s="1" t="str">
        <f>"14_991-11/2024/К"</f>
        <v>14_991-11/2024/К</v>
      </c>
      <c r="B1667" s="6">
        <v>45611</v>
      </c>
      <c r="C1667" s="1" t="str">
        <f>"00038"</f>
        <v>00038</v>
      </c>
      <c r="D166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67" s="1" t="s">
        <v>20</v>
      </c>
      <c r="F1667" s="1" t="str">
        <f t="shared" si="230"/>
        <v>Центр надання адміністративних послуг Рогатинської міської ради</v>
      </c>
      <c r="G1667" s="1" t="str">
        <f t="shared" si="228"/>
        <v>Фізична особа</v>
      </c>
      <c r="H1667" s="1" t="s">
        <v>20</v>
      </c>
      <c r="I1667" s="1" t="s">
        <v>20</v>
      </c>
      <c r="J1667" s="1" t="str">
        <f t="shared" si="229"/>
        <v>Закрито</v>
      </c>
      <c r="K1667" s="5">
        <v>45611</v>
      </c>
      <c r="L1667" s="1" t="s">
        <v>20</v>
      </c>
      <c r="M1667" s="1" t="s">
        <v>22</v>
      </c>
      <c r="N1667" s="5">
        <v>45611</v>
      </c>
    </row>
    <row r="1668" spans="1:14" x14ac:dyDescent="0.3">
      <c r="A1668" s="1" t="str">
        <f>"3_850-11/2024/Г"</f>
        <v>3_850-11/2024/Г</v>
      </c>
      <c r="B1668" s="6">
        <v>45611</v>
      </c>
      <c r="C1668" s="1" t="str">
        <f>"00038"</f>
        <v>00038</v>
      </c>
      <c r="D166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68" s="1" t="s">
        <v>20</v>
      </c>
      <c r="F1668" s="1" t="str">
        <f t="shared" si="230"/>
        <v>Центр надання адміністративних послуг Рогатинської міської ради</v>
      </c>
      <c r="G1668" s="1" t="str">
        <f t="shared" si="228"/>
        <v>Фізична особа</v>
      </c>
      <c r="H1668" s="1" t="s">
        <v>20</v>
      </c>
      <c r="I1668" s="1" t="s">
        <v>20</v>
      </c>
      <c r="J1668" s="1" t="str">
        <f t="shared" si="229"/>
        <v>Закрито</v>
      </c>
      <c r="K1668" s="5">
        <v>45611</v>
      </c>
      <c r="L1668" s="1" t="s">
        <v>20</v>
      </c>
      <c r="M1668" s="1" t="s">
        <v>22</v>
      </c>
      <c r="N1668" s="5">
        <v>45611</v>
      </c>
    </row>
    <row r="1669" spans="1:14" x14ac:dyDescent="0.3">
      <c r="A1669" s="1" t="str">
        <f>"9_1661/04054323-11/2024/О"</f>
        <v>9_1661/04054323-11/2024/О</v>
      </c>
      <c r="B1669" s="6">
        <v>45611</v>
      </c>
      <c r="C1669" s="1" t="str">
        <f>"01-1"</f>
        <v>01-1</v>
      </c>
      <c r="D1669" s="2" t="s">
        <v>0</v>
      </c>
      <c r="E1669" s="1" t="str">
        <f>"04054323"</f>
        <v>04054323</v>
      </c>
      <c r="F1669" s="1" t="str">
        <f>"Рогатинська міська рада"</f>
        <v>Рогатинська міська рада</v>
      </c>
      <c r="G1669" s="1" t="str">
        <f t="shared" si="228"/>
        <v>Фізична особа</v>
      </c>
      <c r="H1669" s="1" t="s">
        <v>20</v>
      </c>
      <c r="I1669" s="1" t="s">
        <v>20</v>
      </c>
      <c r="J1669" s="1" t="str">
        <f>"На обробці в СНАП"</f>
        <v>На обробці в СНАП</v>
      </c>
      <c r="K1669" s="1" t="s">
        <v>20</v>
      </c>
      <c r="L1669" s="1" t="s">
        <v>20</v>
      </c>
      <c r="M1669" s="1" t="s">
        <v>22</v>
      </c>
      <c r="N1669" s="1" t="s">
        <v>20</v>
      </c>
    </row>
    <row r="1670" spans="1:14" x14ac:dyDescent="0.3">
      <c r="A1670" s="1" t="str">
        <f>"3_851-11/2024/Г"</f>
        <v>3_851-11/2024/Г</v>
      </c>
      <c r="B1670" s="6">
        <v>45611</v>
      </c>
      <c r="C1670" s="1" t="str">
        <f>"00038"</f>
        <v>00038</v>
      </c>
      <c r="D167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70" s="1" t="s">
        <v>20</v>
      </c>
      <c r="F167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70" s="1" t="str">
        <f t="shared" si="228"/>
        <v>Фізична особа</v>
      </c>
      <c r="H1670" s="1" t="s">
        <v>20</v>
      </c>
      <c r="I1670" s="1" t="s">
        <v>20</v>
      </c>
      <c r="J1670" s="1" t="str">
        <f>"Закрито"</f>
        <v>Закрито</v>
      </c>
      <c r="K1670" s="5">
        <v>45611</v>
      </c>
      <c r="L1670" s="1" t="s">
        <v>20</v>
      </c>
      <c r="M1670" s="1" t="s">
        <v>22</v>
      </c>
      <c r="N1670" s="5">
        <v>45611</v>
      </c>
    </row>
    <row r="1671" spans="1:14" x14ac:dyDescent="0.3">
      <c r="A1671" s="1" t="str">
        <f>"1_5842/2129-11/2024/О"</f>
        <v>1_5842/2129-11/2024/О</v>
      </c>
      <c r="B1671" s="6">
        <v>45611</v>
      </c>
      <c r="C1671" s="1" t="str">
        <f>"00037"</f>
        <v>00037</v>
      </c>
      <c r="D1671" s="2" t="str">
        <f>"Зняття з реєстрації місця проживання"</f>
        <v>Зняття з реєстрації місця проживання</v>
      </c>
      <c r="E1671" s="1" t="s">
        <v>20</v>
      </c>
      <c r="F167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71" s="1" t="str">
        <f t="shared" si="228"/>
        <v>Фізична особа</v>
      </c>
      <c r="H1671" s="1" t="s">
        <v>20</v>
      </c>
      <c r="I1671" s="1" t="s">
        <v>20</v>
      </c>
      <c r="J1671" s="1" t="str">
        <f>"Закрито"</f>
        <v>Закрито</v>
      </c>
      <c r="K1671" s="5">
        <v>45611</v>
      </c>
      <c r="L1671" s="1" t="s">
        <v>20</v>
      </c>
      <c r="M1671" s="1" t="s">
        <v>22</v>
      </c>
      <c r="N1671" s="5">
        <v>45611</v>
      </c>
    </row>
    <row r="1672" spans="1:14" x14ac:dyDescent="0.3">
      <c r="A1672" s="1" t="str">
        <f>"3_852-11/2024/Г"</f>
        <v>3_852-11/2024/Г</v>
      </c>
      <c r="B1672" s="6">
        <v>45611</v>
      </c>
      <c r="C1672" s="1" t="str">
        <f>"00038"</f>
        <v>00038</v>
      </c>
      <c r="D167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72" s="1" t="s">
        <v>20</v>
      </c>
      <c r="F167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72" s="1" t="str">
        <f t="shared" si="228"/>
        <v>Фізична особа</v>
      </c>
      <c r="H1672" s="1" t="s">
        <v>20</v>
      </c>
      <c r="I1672" s="1" t="s">
        <v>20</v>
      </c>
      <c r="J1672" s="1" t="str">
        <f>"Закрито"</f>
        <v>Закрито</v>
      </c>
      <c r="K1672" s="5">
        <v>45611</v>
      </c>
      <c r="L1672" s="1" t="s">
        <v>20</v>
      </c>
      <c r="M1672" s="1" t="s">
        <v>22</v>
      </c>
      <c r="N1672" s="5">
        <v>45611</v>
      </c>
    </row>
    <row r="1673" spans="1:14" x14ac:dyDescent="0.3">
      <c r="A1673" s="1" t="str">
        <f>"8_74/2129-11/2024/О"</f>
        <v>8_74/2129-11/2024/О</v>
      </c>
      <c r="B1673" s="6">
        <v>45611</v>
      </c>
      <c r="C1673" s="1" t="str">
        <f>"00033"</f>
        <v>00033</v>
      </c>
      <c r="D1673" s="2" t="str">
        <f>"Державна реєстрація смерті"</f>
        <v>Державна реєстрація смерті</v>
      </c>
      <c r="E1673" s="1" t="s">
        <v>20</v>
      </c>
      <c r="F167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73" s="1" t="str">
        <f t="shared" si="228"/>
        <v>Фізична особа</v>
      </c>
      <c r="H1673" s="1" t="s">
        <v>20</v>
      </c>
      <c r="I1673" s="1" t="s">
        <v>20</v>
      </c>
      <c r="J1673" s="1" t="str">
        <f>"Закрито"</f>
        <v>Закрито</v>
      </c>
      <c r="K1673" s="5">
        <v>45611</v>
      </c>
      <c r="L1673" s="1" t="s">
        <v>20</v>
      </c>
      <c r="M1673" s="1" t="s">
        <v>22</v>
      </c>
      <c r="N1673" s="5">
        <v>45611</v>
      </c>
    </row>
    <row r="1674" spans="1:14" x14ac:dyDescent="0.3">
      <c r="A1674" s="1" t="str">
        <f>"9_1662/04054323-11/2024/О"</f>
        <v>9_1662/04054323-11/2024/О</v>
      </c>
      <c r="B1674" s="6">
        <v>45611</v>
      </c>
      <c r="C1674" s="1" t="str">
        <f>"01"</f>
        <v>01</v>
      </c>
      <c r="D1674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674" s="1" t="str">
        <f>"04054323"</f>
        <v>04054323</v>
      </c>
      <c r="F1674" s="1" t="str">
        <f>"Рогатинська міська рада"</f>
        <v>Рогатинська міська рада</v>
      </c>
      <c r="G1674" s="1" t="str">
        <f t="shared" si="228"/>
        <v>Фізична особа</v>
      </c>
      <c r="H1674" s="1" t="s">
        <v>20</v>
      </c>
      <c r="I1674" s="1" t="s">
        <v>20</v>
      </c>
      <c r="J1674" s="1" t="str">
        <f>"На обробці в СНАП"</f>
        <v>На обробці в СНАП</v>
      </c>
      <c r="K1674" s="1" t="s">
        <v>20</v>
      </c>
      <c r="L1674" s="1" t="s">
        <v>20</v>
      </c>
      <c r="M1674" s="1" t="s">
        <v>22</v>
      </c>
      <c r="N1674" s="1" t="s">
        <v>20</v>
      </c>
    </row>
    <row r="1675" spans="1:14" x14ac:dyDescent="0.3">
      <c r="A1675" s="1" t="str">
        <f>"20_176-11/2024/В"</f>
        <v>20_176-11/2024/В</v>
      </c>
      <c r="B1675" s="6">
        <v>45611</v>
      </c>
      <c r="C1675" s="1" t="str">
        <f>"00038"</f>
        <v>00038</v>
      </c>
      <c r="D167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75" s="1" t="s">
        <v>20</v>
      </c>
      <c r="F16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75" s="1" t="str">
        <f t="shared" si="228"/>
        <v>Фізична особа</v>
      </c>
      <c r="H1675" s="1" t="s">
        <v>20</v>
      </c>
      <c r="I1675" s="1" t="s">
        <v>20</v>
      </c>
      <c r="J1675" s="1" t="str">
        <f>"Закрито"</f>
        <v>Закрито</v>
      </c>
      <c r="K1675" s="5">
        <v>45611</v>
      </c>
      <c r="L1675" s="1" t="s">
        <v>20</v>
      </c>
      <c r="M1675" s="1" t="s">
        <v>22</v>
      </c>
      <c r="N1675" s="5">
        <v>45611</v>
      </c>
    </row>
    <row r="1676" spans="1:14" x14ac:dyDescent="0.3">
      <c r="A1676" s="1" t="str">
        <f>"9_1663/04054323-11/2024/П"</f>
        <v>9_1663/04054323-11/2024/П</v>
      </c>
      <c r="B1676" s="6">
        <v>45611</v>
      </c>
      <c r="C1676" s="1" t="str">
        <f>"01"</f>
        <v>01</v>
      </c>
      <c r="D1676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676" s="1" t="str">
        <f>"04054323"</f>
        <v>04054323</v>
      </c>
      <c r="F1676" s="1" t="str">
        <f>"Рогатинська міська рада"</f>
        <v>Рогатинська міська рада</v>
      </c>
      <c r="G1676" s="1" t="str">
        <f t="shared" si="228"/>
        <v>Фізична особа</v>
      </c>
      <c r="H1676" s="1" t="s">
        <v>20</v>
      </c>
      <c r="I1676" s="1" t="s">
        <v>20</v>
      </c>
      <c r="J1676" s="1" t="str">
        <f>"На обробці в СНАП"</f>
        <v>На обробці в СНАП</v>
      </c>
      <c r="K1676" s="1" t="s">
        <v>20</v>
      </c>
      <c r="L1676" s="1" t="s">
        <v>20</v>
      </c>
      <c r="M1676" s="1" t="s">
        <v>22</v>
      </c>
      <c r="N1676" s="1" t="s">
        <v>20</v>
      </c>
    </row>
    <row r="1677" spans="1:14" x14ac:dyDescent="0.3">
      <c r="A1677" s="1" t="str">
        <f>"26_369-11/2024/О"</f>
        <v>26_369-11/2024/О</v>
      </c>
      <c r="B1677" s="6">
        <v>45611</v>
      </c>
      <c r="C1677" s="1" t="str">
        <f>"00038"</f>
        <v>00038</v>
      </c>
      <c r="D167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77" s="1" t="s">
        <v>20</v>
      </c>
      <c r="F167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77" s="1" t="str">
        <f t="shared" si="228"/>
        <v>Фізична особа</v>
      </c>
      <c r="H1677" s="1" t="s">
        <v>20</v>
      </c>
      <c r="I1677" s="1" t="s">
        <v>20</v>
      </c>
      <c r="J1677" s="1" t="str">
        <f>"Закрито"</f>
        <v>Закрито</v>
      </c>
      <c r="K1677" s="5">
        <v>45611</v>
      </c>
      <c r="L1677" s="1" t="s">
        <v>20</v>
      </c>
      <c r="M1677" s="1" t="s">
        <v>22</v>
      </c>
      <c r="N1677" s="5">
        <v>45611</v>
      </c>
    </row>
    <row r="1678" spans="1:14" x14ac:dyDescent="0.3">
      <c r="A1678" s="1" t="str">
        <f>"9_1664/04054323-11/2024/Т"</f>
        <v>9_1664/04054323-11/2024/Т</v>
      </c>
      <c r="B1678" s="6">
        <v>45611</v>
      </c>
      <c r="C1678" s="1" t="str">
        <f>"01-1"</f>
        <v>01-1</v>
      </c>
      <c r="D1678" s="2" t="s">
        <v>0</v>
      </c>
      <c r="E1678" s="1" t="str">
        <f>"04054323"</f>
        <v>04054323</v>
      </c>
      <c r="F1678" s="1" t="str">
        <f>"Рогатинська міська рада"</f>
        <v>Рогатинська міська рада</v>
      </c>
      <c r="G1678" s="1" t="str">
        <f t="shared" si="228"/>
        <v>Фізична особа</v>
      </c>
      <c r="H1678" s="1" t="s">
        <v>20</v>
      </c>
      <c r="I1678" s="1" t="s">
        <v>20</v>
      </c>
      <c r="J1678" s="1" t="str">
        <f>"На обробці в СНАП"</f>
        <v>На обробці в СНАП</v>
      </c>
      <c r="K1678" s="1" t="s">
        <v>20</v>
      </c>
      <c r="L1678" s="1" t="s">
        <v>20</v>
      </c>
      <c r="M1678" s="1" t="s">
        <v>22</v>
      </c>
      <c r="N1678" s="1" t="s">
        <v>20</v>
      </c>
    </row>
    <row r="1679" spans="1:14" x14ac:dyDescent="0.3">
      <c r="A1679" s="1" t="str">
        <f>"26_370-11/2024/О"</f>
        <v>26_370-11/2024/О</v>
      </c>
      <c r="B1679" s="6">
        <v>45611</v>
      </c>
      <c r="C1679" s="1" t="str">
        <f>"33"</f>
        <v>33</v>
      </c>
      <c r="D1679" s="2" t="str">
        <f>"33 Довідки різного характеру"</f>
        <v>33 Довідки різного характеру</v>
      </c>
      <c r="E1679" s="1" t="s">
        <v>20</v>
      </c>
      <c r="F167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79" s="1" t="str">
        <f t="shared" si="228"/>
        <v>Фізична особа</v>
      </c>
      <c r="H1679" s="1" t="s">
        <v>20</v>
      </c>
      <c r="I1679" s="1" t="s">
        <v>20</v>
      </c>
      <c r="J1679" s="1" t="str">
        <f>"Закрито"</f>
        <v>Закрито</v>
      </c>
      <c r="K1679" s="5">
        <v>45611</v>
      </c>
      <c r="L1679" s="1" t="s">
        <v>20</v>
      </c>
      <c r="M1679" s="1" t="s">
        <v>22</v>
      </c>
      <c r="N1679" s="5">
        <v>45611</v>
      </c>
    </row>
    <row r="1680" spans="1:14" x14ac:dyDescent="0.3">
      <c r="A1680" s="1" t="str">
        <f>"4_1276/03193413-11/2024/А"</f>
        <v>4_1276/03193413-11/2024/А</v>
      </c>
      <c r="B1680" s="6">
        <v>45611</v>
      </c>
      <c r="C1680" s="1" t="str">
        <f>"01974"</f>
        <v>01974</v>
      </c>
      <c r="D1680" s="2" t="str">
        <f>"Призначення пільги на оплату житла, комунальних послуг"</f>
        <v>Призначення пільги на оплату житла, комунальних послуг</v>
      </c>
      <c r="E1680" s="1" t="str">
        <f>"03193413"</f>
        <v>03193413</v>
      </c>
      <c r="F168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680" s="1" t="str">
        <f t="shared" si="228"/>
        <v>Фізична особа</v>
      </c>
      <c r="H1680" s="1" t="s">
        <v>20</v>
      </c>
      <c r="I1680" s="1" t="s">
        <v>20</v>
      </c>
      <c r="J1680" s="1" t="str">
        <f>"На обробці в СНАП"</f>
        <v>На обробці в СНАП</v>
      </c>
      <c r="K1680" s="1" t="s">
        <v>20</v>
      </c>
      <c r="L1680" s="1" t="s">
        <v>20</v>
      </c>
      <c r="M1680" s="1" t="s">
        <v>22</v>
      </c>
      <c r="N1680" s="1" t="s">
        <v>20</v>
      </c>
    </row>
    <row r="1681" spans="1:14" x14ac:dyDescent="0.3">
      <c r="A1681" s="1" t="str">
        <f>"9_1665/04054323-11/2024/Т"</f>
        <v>9_1665/04054323-11/2024/Т</v>
      </c>
      <c r="B1681" s="6">
        <v>45611</v>
      </c>
      <c r="C1681" s="1" t="str">
        <f>"01"</f>
        <v>01</v>
      </c>
      <c r="D1681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681" s="1" t="str">
        <f>"04054323"</f>
        <v>04054323</v>
      </c>
      <c r="F1681" s="1" t="str">
        <f>"Рогатинська міська рада"</f>
        <v>Рогатинська міська рада</v>
      </c>
      <c r="G1681" s="1" t="str">
        <f t="shared" si="228"/>
        <v>Фізична особа</v>
      </c>
      <c r="H1681" s="1" t="s">
        <v>20</v>
      </c>
      <c r="I1681" s="1" t="s">
        <v>20</v>
      </c>
      <c r="J1681" s="1" t="str">
        <f>"На обробці в СНАП"</f>
        <v>На обробці в СНАП</v>
      </c>
      <c r="K1681" s="1" t="s">
        <v>20</v>
      </c>
      <c r="L1681" s="1" t="s">
        <v>20</v>
      </c>
      <c r="M1681" s="1" t="s">
        <v>22</v>
      </c>
      <c r="N1681" s="1" t="s">
        <v>20</v>
      </c>
    </row>
    <row r="1682" spans="1:14" x14ac:dyDescent="0.3">
      <c r="A1682" s="1" t="str">
        <f>"20_177-11/2024/В"</f>
        <v>20_177-11/2024/В</v>
      </c>
      <c r="B1682" s="6">
        <v>45611</v>
      </c>
      <c r="C1682" s="1" t="str">
        <f>"00038"</f>
        <v>00038</v>
      </c>
      <c r="D168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82" s="1" t="s">
        <v>20</v>
      </c>
      <c r="F168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82" s="1" t="str">
        <f t="shared" si="228"/>
        <v>Фізична особа</v>
      </c>
      <c r="H1682" s="1" t="s">
        <v>20</v>
      </c>
      <c r="I1682" s="1" t="s">
        <v>20</v>
      </c>
      <c r="J1682" s="1" t="str">
        <f>"Закрито"</f>
        <v>Закрито</v>
      </c>
      <c r="K1682" s="5">
        <v>45611</v>
      </c>
      <c r="L1682" s="1" t="s">
        <v>20</v>
      </c>
      <c r="M1682" s="1" t="s">
        <v>22</v>
      </c>
      <c r="N1682" s="5">
        <v>45611</v>
      </c>
    </row>
    <row r="1683" spans="1:14" x14ac:dyDescent="0.3">
      <c r="A1683" s="1" t="str">
        <f>"14_992-11/2024/Ш"</f>
        <v>14_992-11/2024/Ш</v>
      </c>
      <c r="B1683" s="6">
        <v>45611</v>
      </c>
      <c r="C1683" s="1" t="str">
        <f>"00151"</f>
        <v>00151</v>
      </c>
      <c r="D1683" s="2" t="str">
        <f>"Призначення державної соціальної допомоги особам з інвалідністю з дитинства та дітям з інвалідністю"</f>
        <v>Призначення державної соціальної допомоги особам з інвалідністю з дитинства та дітям з інвалідністю</v>
      </c>
      <c r="E1683" s="1" t="str">
        <f>"03193413"</f>
        <v>03193413</v>
      </c>
      <c r="F168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683" s="1" t="str">
        <f t="shared" si="228"/>
        <v>Фізична особа</v>
      </c>
      <c r="H1683" s="1" t="s">
        <v>20</v>
      </c>
      <c r="I1683" s="1" t="s">
        <v>20</v>
      </c>
      <c r="J1683" s="1" t="str">
        <f>"На обробці в СНАП"</f>
        <v>На обробці в СНАП</v>
      </c>
      <c r="K1683" s="1" t="s">
        <v>20</v>
      </c>
      <c r="L1683" s="1" t="s">
        <v>20</v>
      </c>
      <c r="M1683" s="1" t="s">
        <v>22</v>
      </c>
      <c r="N1683" s="1" t="s">
        <v>20</v>
      </c>
    </row>
    <row r="1684" spans="1:14" x14ac:dyDescent="0.3">
      <c r="A1684" s="1" t="str">
        <f>"12_874-11/2024/П"</f>
        <v>12_874-11/2024/П</v>
      </c>
      <c r="B1684" s="6">
        <v>45611</v>
      </c>
      <c r="C1684" s="1" t="str">
        <f>"00038"</f>
        <v>00038</v>
      </c>
      <c r="D168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84" s="1" t="s">
        <v>20</v>
      </c>
      <c r="F168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84" s="1" t="str">
        <f t="shared" si="228"/>
        <v>Фізична особа</v>
      </c>
      <c r="H1684" s="1" t="s">
        <v>20</v>
      </c>
      <c r="I1684" s="1" t="s">
        <v>20</v>
      </c>
      <c r="J1684" s="1" t="str">
        <f>"Закрито"</f>
        <v>Закрито</v>
      </c>
      <c r="K1684" s="5">
        <v>45611</v>
      </c>
      <c r="L1684" s="1" t="s">
        <v>20</v>
      </c>
      <c r="M1684" s="1" t="s">
        <v>22</v>
      </c>
      <c r="N1684" s="5">
        <v>45611</v>
      </c>
    </row>
    <row r="1685" spans="1:14" x14ac:dyDescent="0.3">
      <c r="A1685" s="1" t="str">
        <f>"12_875-11/2024/Ч"</f>
        <v>12_875-11/2024/Ч</v>
      </c>
      <c r="B1685" s="6">
        <v>45611</v>
      </c>
      <c r="C1685" s="1" t="str">
        <f>"33"</f>
        <v>33</v>
      </c>
      <c r="D1685" s="2" t="str">
        <f>"33 Довідки різного характеру"</f>
        <v>33 Довідки різного характеру</v>
      </c>
      <c r="E1685" s="1" t="s">
        <v>20</v>
      </c>
      <c r="F168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85" s="1" t="str">
        <f t="shared" si="228"/>
        <v>Фізична особа</v>
      </c>
      <c r="H1685" s="1" t="s">
        <v>20</v>
      </c>
      <c r="I1685" s="1" t="s">
        <v>20</v>
      </c>
      <c r="J1685" s="1" t="str">
        <f>"Закрито"</f>
        <v>Закрито</v>
      </c>
      <c r="K1685" s="5">
        <v>45611</v>
      </c>
      <c r="L1685" s="1" t="s">
        <v>20</v>
      </c>
      <c r="M1685" s="1" t="s">
        <v>22</v>
      </c>
      <c r="N1685" s="5">
        <v>45611</v>
      </c>
    </row>
    <row r="1686" spans="1:14" x14ac:dyDescent="0.3">
      <c r="A1686" s="1" t="str">
        <f>"9_1666/04054323-11/2024/О"</f>
        <v>9_1666/04054323-11/2024/О</v>
      </c>
      <c r="B1686" s="6">
        <v>45611</v>
      </c>
      <c r="C1686" s="1" t="str">
        <f>"01"</f>
        <v>01</v>
      </c>
      <c r="D1686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686" s="1" t="str">
        <f>"04054323"</f>
        <v>04054323</v>
      </c>
      <c r="F1686" s="1" t="str">
        <f>"Рогатинська міська рада"</f>
        <v>Рогатинська міська рада</v>
      </c>
      <c r="G1686" s="1" t="str">
        <f t="shared" si="228"/>
        <v>Фізична особа</v>
      </c>
      <c r="H1686" s="1" t="s">
        <v>20</v>
      </c>
      <c r="I1686" s="1" t="s">
        <v>20</v>
      </c>
      <c r="J1686" s="1" t="str">
        <f>"На обробці в СНАП"</f>
        <v>На обробці в СНАП</v>
      </c>
      <c r="K1686" s="1" t="s">
        <v>20</v>
      </c>
      <c r="L1686" s="1" t="s">
        <v>20</v>
      </c>
      <c r="M1686" s="1" t="s">
        <v>22</v>
      </c>
      <c r="N1686" s="1" t="s">
        <v>20</v>
      </c>
    </row>
    <row r="1687" spans="1:14" x14ac:dyDescent="0.3">
      <c r="A1687" s="1" t="str">
        <f>"1_5843/2129-11/2024/Г"</f>
        <v>1_5843/2129-11/2024/Г</v>
      </c>
      <c r="B1687" s="6">
        <v>45611</v>
      </c>
      <c r="C1687" s="1" t="str">
        <f>"00038"</f>
        <v>00038</v>
      </c>
      <c r="D168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87" s="1" t="s">
        <v>20</v>
      </c>
      <c r="F1687" s="1" t="str">
        <f t="shared" ref="F1687:F1692" si="23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87" s="1" t="str">
        <f t="shared" si="228"/>
        <v>Фізична особа</v>
      </c>
      <c r="H1687" s="1" t="s">
        <v>20</v>
      </c>
      <c r="I1687" s="1" t="s">
        <v>20</v>
      </c>
      <c r="J1687" s="1" t="str">
        <f t="shared" ref="J1687:J1696" si="232">"Закрито"</f>
        <v>Закрито</v>
      </c>
      <c r="K1687" s="5">
        <v>45611</v>
      </c>
      <c r="L1687" s="1" t="s">
        <v>20</v>
      </c>
      <c r="M1687" s="1" t="s">
        <v>22</v>
      </c>
      <c r="N1687" s="5">
        <v>45611</v>
      </c>
    </row>
    <row r="1688" spans="1:14" x14ac:dyDescent="0.3">
      <c r="A1688" s="1" t="str">
        <f>"1_5844/2129-11/2024/О"</f>
        <v>1_5844/2129-11/2024/О</v>
      </c>
      <c r="B1688" s="6">
        <v>45611</v>
      </c>
      <c r="C1688" s="1" t="str">
        <f>"00038"</f>
        <v>00038</v>
      </c>
      <c r="D168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88" s="1" t="s">
        <v>20</v>
      </c>
      <c r="F1688" s="1" t="str">
        <f t="shared" si="231"/>
        <v>Центр надання адміністративних послуг Рогатинської міської ради</v>
      </c>
      <c r="G1688" s="1" t="str">
        <f t="shared" si="228"/>
        <v>Фізична особа</v>
      </c>
      <c r="H1688" s="1" t="s">
        <v>20</v>
      </c>
      <c r="I1688" s="1" t="s">
        <v>20</v>
      </c>
      <c r="J1688" s="1" t="str">
        <f t="shared" si="232"/>
        <v>Закрито</v>
      </c>
      <c r="K1688" s="5">
        <v>45611</v>
      </c>
      <c r="L1688" s="1" t="s">
        <v>20</v>
      </c>
      <c r="M1688" s="1" t="s">
        <v>22</v>
      </c>
      <c r="N1688" s="5">
        <v>45611</v>
      </c>
    </row>
    <row r="1689" spans="1:14" x14ac:dyDescent="0.3">
      <c r="A1689" s="1" t="str">
        <f>"5_504/2129-11/2024/Ф"</f>
        <v>5_504/2129-11/2024/Ф</v>
      </c>
      <c r="B1689" s="6">
        <v>45611</v>
      </c>
      <c r="C1689" s="1" t="str">
        <f>"00234"</f>
        <v>00234</v>
      </c>
      <c r="D1689" s="2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1689" s="1" t="s">
        <v>20</v>
      </c>
      <c r="F1689" s="1" t="str">
        <f t="shared" si="231"/>
        <v>Центр надання адміністративних послуг Рогатинської міської ради</v>
      </c>
      <c r="G1689" s="1" t="str">
        <f t="shared" si="228"/>
        <v>Фізична особа</v>
      </c>
      <c r="H1689" s="1" t="s">
        <v>20</v>
      </c>
      <c r="I1689" s="1" t="s">
        <v>20</v>
      </c>
      <c r="J1689" s="1" t="str">
        <f t="shared" si="232"/>
        <v>Закрито</v>
      </c>
      <c r="K1689" s="5">
        <v>45611</v>
      </c>
      <c r="L1689" s="1" t="str">
        <f>"150.0"</f>
        <v>150.0</v>
      </c>
      <c r="M1689" s="1" t="s">
        <v>22</v>
      </c>
      <c r="N1689" s="5">
        <v>45611</v>
      </c>
    </row>
    <row r="1690" spans="1:14" x14ac:dyDescent="0.3">
      <c r="A1690" s="1" t="str">
        <f>"1_5845/2129-11/2024/О"</f>
        <v>1_5845/2129-11/2024/О</v>
      </c>
      <c r="B1690" s="6">
        <v>45611</v>
      </c>
      <c r="C1690" s="1" t="str">
        <f>"00038"</f>
        <v>00038</v>
      </c>
      <c r="D169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90" s="1" t="s">
        <v>20</v>
      </c>
      <c r="F1690" s="1" t="str">
        <f t="shared" si="231"/>
        <v>Центр надання адміністративних послуг Рогатинської міської ради</v>
      </c>
      <c r="G1690" s="1" t="str">
        <f t="shared" si="228"/>
        <v>Фізична особа</v>
      </c>
      <c r="H1690" s="1" t="s">
        <v>20</v>
      </c>
      <c r="I1690" s="1" t="s">
        <v>20</v>
      </c>
      <c r="J1690" s="1" t="str">
        <f t="shared" si="232"/>
        <v>Закрито</v>
      </c>
      <c r="K1690" s="5">
        <v>45611</v>
      </c>
      <c r="L1690" s="1" t="s">
        <v>20</v>
      </c>
      <c r="M1690" s="1" t="s">
        <v>22</v>
      </c>
      <c r="N1690" s="5">
        <v>45611</v>
      </c>
    </row>
    <row r="1691" spans="1:14" x14ac:dyDescent="0.3">
      <c r="A1691" s="1" t="str">
        <f>"1_5846/2129-11/2024/О"</f>
        <v>1_5846/2129-11/2024/О</v>
      </c>
      <c r="B1691" s="6">
        <v>45611</v>
      </c>
      <c r="C1691" s="1" t="str">
        <f>"00038"</f>
        <v>00038</v>
      </c>
      <c r="D169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91" s="1" t="s">
        <v>20</v>
      </c>
      <c r="F1691" s="1" t="str">
        <f t="shared" si="231"/>
        <v>Центр надання адміністративних послуг Рогатинської міської ради</v>
      </c>
      <c r="G1691" s="1" t="str">
        <f t="shared" si="228"/>
        <v>Фізична особа</v>
      </c>
      <c r="H1691" s="1" t="s">
        <v>20</v>
      </c>
      <c r="I1691" s="1" t="s">
        <v>20</v>
      </c>
      <c r="J1691" s="1" t="str">
        <f t="shared" si="232"/>
        <v>Закрито</v>
      </c>
      <c r="K1691" s="5">
        <v>45611</v>
      </c>
      <c r="L1691" s="1" t="s">
        <v>20</v>
      </c>
      <c r="M1691" s="1" t="s">
        <v>22</v>
      </c>
      <c r="N1691" s="5">
        <v>45611</v>
      </c>
    </row>
    <row r="1692" spans="1:14" x14ac:dyDescent="0.3">
      <c r="A1692" s="1" t="str">
        <f>"1_5847/2129-11/2024/О"</f>
        <v>1_5847/2129-11/2024/О</v>
      </c>
      <c r="B1692" s="6">
        <v>45611</v>
      </c>
      <c r="C1692" s="1" t="str">
        <f>"00038"</f>
        <v>00038</v>
      </c>
      <c r="D169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92" s="1" t="s">
        <v>20</v>
      </c>
      <c r="F1692" s="1" t="str">
        <f t="shared" si="231"/>
        <v>Центр надання адміністративних послуг Рогатинської міської ради</v>
      </c>
      <c r="G1692" s="1" t="str">
        <f t="shared" si="228"/>
        <v>Фізична особа</v>
      </c>
      <c r="H1692" s="1" t="s">
        <v>20</v>
      </c>
      <c r="I1692" s="1" t="s">
        <v>20</v>
      </c>
      <c r="J1692" s="1" t="str">
        <f t="shared" si="232"/>
        <v>Закрито</v>
      </c>
      <c r="K1692" s="5">
        <v>45611</v>
      </c>
      <c r="L1692" s="1" t="s">
        <v>20</v>
      </c>
      <c r="M1692" s="1" t="s">
        <v>22</v>
      </c>
      <c r="N1692" s="5">
        <v>45611</v>
      </c>
    </row>
    <row r="1693" spans="1:14" x14ac:dyDescent="0.3">
      <c r="A1693" s="1" t="str">
        <f>"16_682-11/2024/Б"</f>
        <v>16_682-11/2024/Б</v>
      </c>
      <c r="B1693" s="6">
        <v>45611</v>
      </c>
      <c r="C1693" s="1" t="str">
        <f>"00155"</f>
        <v>00155</v>
      </c>
      <c r="D1693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693" s="1" t="str">
        <f>"03193413"</f>
        <v>03193413</v>
      </c>
      <c r="F169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693" s="1" t="str">
        <f t="shared" si="228"/>
        <v>Фізична особа</v>
      </c>
      <c r="H1693" s="1" t="s">
        <v>20</v>
      </c>
      <c r="I1693" s="1" t="s">
        <v>20</v>
      </c>
      <c r="J1693" s="1" t="str">
        <f t="shared" si="232"/>
        <v>Закрито</v>
      </c>
      <c r="K1693" s="5">
        <v>45639</v>
      </c>
      <c r="L1693" s="1" t="s">
        <v>20</v>
      </c>
      <c r="M1693" s="1" t="s">
        <v>22</v>
      </c>
      <c r="N1693" s="5">
        <v>45639</v>
      </c>
    </row>
    <row r="1694" spans="1:14" x14ac:dyDescent="0.3">
      <c r="A1694" s="1" t="str">
        <f>"1_5848/2129-11/2024/П"</f>
        <v>1_5848/2129-11/2024/П</v>
      </c>
      <c r="B1694" s="6">
        <v>45611</v>
      </c>
      <c r="C1694" s="1" t="str">
        <f>"33"</f>
        <v>33</v>
      </c>
      <c r="D1694" s="2" t="str">
        <f>"33 Довідки різного характеру"</f>
        <v>33 Довідки різного характеру</v>
      </c>
      <c r="E1694" s="1" t="s">
        <v>20</v>
      </c>
      <c r="F16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94" s="1" t="str">
        <f>"Юридична особа"</f>
        <v>Юридична особа</v>
      </c>
      <c r="H1694" s="1" t="str">
        <f>"Приватний нотаріус"</f>
        <v>Приватний нотаріус</v>
      </c>
      <c r="I1694" s="1" t="s">
        <v>20</v>
      </c>
      <c r="J1694" s="1" t="str">
        <f t="shared" si="232"/>
        <v>Закрито</v>
      </c>
      <c r="K1694" s="5">
        <v>45611</v>
      </c>
      <c r="L1694" s="1" t="s">
        <v>20</v>
      </c>
      <c r="M1694" s="1" t="s">
        <v>22</v>
      </c>
      <c r="N1694" s="5">
        <v>45611</v>
      </c>
    </row>
    <row r="1695" spans="1:14" x14ac:dyDescent="0.3">
      <c r="A1695" s="1" t="str">
        <f>"1_5849/2129-11/2024/К"</f>
        <v>1_5849/2129-11/2024/К</v>
      </c>
      <c r="B1695" s="6">
        <v>45611</v>
      </c>
      <c r="C1695" s="1" t="str">
        <f>"00038"</f>
        <v>00038</v>
      </c>
      <c r="D169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95" s="1" t="s">
        <v>20</v>
      </c>
      <c r="F169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95" s="1" t="str">
        <f t="shared" ref="G1695:G1708" si="233">"Фізична особа"</f>
        <v>Фізична особа</v>
      </c>
      <c r="H1695" s="1" t="s">
        <v>20</v>
      </c>
      <c r="I1695" s="1" t="s">
        <v>20</v>
      </c>
      <c r="J1695" s="1" t="str">
        <f t="shared" si="232"/>
        <v>Закрито</v>
      </c>
      <c r="K1695" s="5">
        <v>45611</v>
      </c>
      <c r="L1695" s="1" t="s">
        <v>20</v>
      </c>
      <c r="M1695" s="1" t="s">
        <v>22</v>
      </c>
      <c r="N1695" s="5">
        <v>45611</v>
      </c>
    </row>
    <row r="1696" spans="1:14" x14ac:dyDescent="0.3">
      <c r="A1696" s="1" t="str">
        <f>"1_5850/2129-11/2024/Н"</f>
        <v>1_5850/2129-11/2024/Н</v>
      </c>
      <c r="B1696" s="6">
        <v>45611</v>
      </c>
      <c r="C1696" s="1" t="str">
        <f>"00038"</f>
        <v>00038</v>
      </c>
      <c r="D169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96" s="1" t="s">
        <v>20</v>
      </c>
      <c r="F169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96" s="1" t="str">
        <f t="shared" si="233"/>
        <v>Фізична особа</v>
      </c>
      <c r="H1696" s="1" t="s">
        <v>20</v>
      </c>
      <c r="I1696" s="1" t="s">
        <v>20</v>
      </c>
      <c r="J1696" s="1" t="str">
        <f t="shared" si="232"/>
        <v>Закрито</v>
      </c>
      <c r="K1696" s="5">
        <v>45611</v>
      </c>
      <c r="L1696" s="1" t="s">
        <v>20</v>
      </c>
      <c r="M1696" s="1" t="s">
        <v>22</v>
      </c>
      <c r="N1696" s="5">
        <v>45611</v>
      </c>
    </row>
    <row r="1697" spans="1:14" x14ac:dyDescent="0.3">
      <c r="A1697" s="1" t="str">
        <f>"26_371-11/2024/Б"</f>
        <v>26_371-11/2024/Б</v>
      </c>
      <c r="B1697" s="6">
        <v>45611</v>
      </c>
      <c r="C1697" s="1" t="str">
        <f>"00155"</f>
        <v>00155</v>
      </c>
      <c r="D1697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697" s="1" t="str">
        <f>"03193413"</f>
        <v>03193413</v>
      </c>
      <c r="F169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697" s="1" t="str">
        <f t="shared" si="233"/>
        <v>Фізична особа</v>
      </c>
      <c r="H1697" s="1" t="s">
        <v>20</v>
      </c>
      <c r="I1697" s="1" t="s">
        <v>20</v>
      </c>
      <c r="J1697" s="1" t="str">
        <f>"На обробці в СНАП"</f>
        <v>На обробці в СНАП</v>
      </c>
      <c r="K1697" s="1" t="s">
        <v>20</v>
      </c>
      <c r="L1697" s="1" t="s">
        <v>20</v>
      </c>
      <c r="M1697" s="1" t="s">
        <v>22</v>
      </c>
      <c r="N1697" s="1" t="s">
        <v>20</v>
      </c>
    </row>
    <row r="1698" spans="1:14" x14ac:dyDescent="0.3">
      <c r="A1698" s="1" t="str">
        <f>"1_5851/2129-11/2024/Г"</f>
        <v>1_5851/2129-11/2024/Г</v>
      </c>
      <c r="B1698" s="6">
        <v>45611</v>
      </c>
      <c r="C1698" s="1" t="str">
        <f>"00034"</f>
        <v>00034</v>
      </c>
      <c r="D1698" s="2" t="str">
        <f>"Реєстрація місця проживання"</f>
        <v>Реєстрація місця проживання</v>
      </c>
      <c r="E1698" s="1" t="s">
        <v>20</v>
      </c>
      <c r="F169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98" s="1" t="str">
        <f t="shared" si="233"/>
        <v>Фізична особа</v>
      </c>
      <c r="H1698" s="1" t="s">
        <v>20</v>
      </c>
      <c r="I1698" s="1" t="s">
        <v>20</v>
      </c>
      <c r="J1698" s="1" t="str">
        <f>"Закрито"</f>
        <v>Закрито</v>
      </c>
      <c r="K1698" s="5">
        <v>45611</v>
      </c>
      <c r="L1698" s="1" t="str">
        <f>"75.7"</f>
        <v>75.7</v>
      </c>
      <c r="M1698" s="1" t="s">
        <v>22</v>
      </c>
      <c r="N1698" s="5">
        <v>45611</v>
      </c>
    </row>
    <row r="1699" spans="1:14" x14ac:dyDescent="0.3">
      <c r="A1699" s="1" t="str">
        <f>"1_5852/2129-11/2024/Г"</f>
        <v>1_5852/2129-11/2024/Г</v>
      </c>
      <c r="B1699" s="6">
        <v>45611</v>
      </c>
      <c r="C1699" s="1" t="str">
        <f>"00038"</f>
        <v>00038</v>
      </c>
      <c r="D169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699" s="1" t="s">
        <v>20</v>
      </c>
      <c r="F169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699" s="1" t="str">
        <f t="shared" si="233"/>
        <v>Фізична особа</v>
      </c>
      <c r="H1699" s="1" t="s">
        <v>20</v>
      </c>
      <c r="I1699" s="1" t="s">
        <v>20</v>
      </c>
      <c r="J1699" s="1" t="str">
        <f>"Закрито"</f>
        <v>Закрито</v>
      </c>
      <c r="K1699" s="5">
        <v>45611</v>
      </c>
      <c r="L1699" s="1" t="s">
        <v>20</v>
      </c>
      <c r="M1699" s="1" t="s">
        <v>22</v>
      </c>
      <c r="N1699" s="5">
        <v>45611</v>
      </c>
    </row>
    <row r="1700" spans="1:14" x14ac:dyDescent="0.3">
      <c r="A1700" s="1" t="str">
        <f>"15_339-11/2024/Ш"</f>
        <v>15_339-11/2024/Ш</v>
      </c>
      <c r="B1700" s="6">
        <v>45611</v>
      </c>
      <c r="C1700" s="1" t="str">
        <f>"00064"</f>
        <v>00064</v>
      </c>
      <c r="D1700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700" s="1" t="s">
        <v>20</v>
      </c>
      <c r="F1700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700" s="1" t="str">
        <f t="shared" si="233"/>
        <v>Фізична особа</v>
      </c>
      <c r="H1700" s="1" t="s">
        <v>20</v>
      </c>
      <c r="I1700" s="1" t="s">
        <v>20</v>
      </c>
      <c r="J1700" s="1" t="str">
        <f>"Закрито"</f>
        <v>Закрито</v>
      </c>
      <c r="K1700" s="5">
        <v>45611</v>
      </c>
      <c r="L1700" s="1" t="s">
        <v>20</v>
      </c>
      <c r="M1700" s="1" t="s">
        <v>22</v>
      </c>
      <c r="N1700" s="5">
        <v>45611</v>
      </c>
    </row>
    <row r="1701" spans="1:14" x14ac:dyDescent="0.3">
      <c r="A1701" s="1" t="str">
        <f>"3_1369/4-11/2024/К"</f>
        <v>3_1369/4-11/2024/К</v>
      </c>
      <c r="B1701" s="6">
        <v>45611</v>
      </c>
      <c r="C1701" s="1" t="str">
        <f>"00060"</f>
        <v>00060</v>
      </c>
      <c r="D1701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701" s="1" t="s">
        <v>20</v>
      </c>
      <c r="F1701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701" s="1" t="str">
        <f t="shared" si="233"/>
        <v>Фізична особа</v>
      </c>
      <c r="H1701" s="1" t="s">
        <v>20</v>
      </c>
      <c r="I1701" s="1" t="s">
        <v>20</v>
      </c>
      <c r="J1701" s="1" t="str">
        <f>"Результат підготовлено СНАП"</f>
        <v>Результат підготовлено СНАП</v>
      </c>
      <c r="K1701" s="5">
        <v>45614</v>
      </c>
      <c r="L1701" s="1" t="str">
        <f>"151.4"</f>
        <v>151.4</v>
      </c>
      <c r="M1701" s="1" t="s">
        <v>22</v>
      </c>
      <c r="N1701" s="1" t="s">
        <v>20</v>
      </c>
    </row>
    <row r="1702" spans="1:14" x14ac:dyDescent="0.3">
      <c r="A1702" s="1" t="str">
        <f>"35_514-11/2024/З"</f>
        <v>35_514-11/2024/З</v>
      </c>
      <c r="B1702" s="6">
        <v>45611</v>
      </c>
      <c r="C1702" s="1" t="str">
        <f>"01495"</f>
        <v>01495</v>
      </c>
      <c r="D1702" s="2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1702" s="1" t="s">
        <v>20</v>
      </c>
      <c r="F170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02" s="1" t="str">
        <f t="shared" si="233"/>
        <v>Фізична особа</v>
      </c>
      <c r="H1702" s="1" t="s">
        <v>20</v>
      </c>
      <c r="I1702" s="1" t="s">
        <v>20</v>
      </c>
      <c r="J1702" s="1" t="str">
        <f>"Закрито"</f>
        <v>Закрито</v>
      </c>
      <c r="K1702" s="5">
        <v>45611</v>
      </c>
      <c r="L1702" s="1" t="s">
        <v>20</v>
      </c>
      <c r="M1702" s="1" t="s">
        <v>22</v>
      </c>
      <c r="N1702" s="5">
        <v>45611</v>
      </c>
    </row>
    <row r="1703" spans="1:14" x14ac:dyDescent="0.3">
      <c r="A1703" s="1" t="str">
        <f>"1_5853/2129-11/2024/Г"</f>
        <v>1_5853/2129-11/2024/Г</v>
      </c>
      <c r="B1703" s="6">
        <v>45611</v>
      </c>
      <c r="C1703" s="1" t="str">
        <f>"00038"</f>
        <v>00038</v>
      </c>
      <c r="D170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03" s="1" t="s">
        <v>20</v>
      </c>
      <c r="F170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03" s="1" t="str">
        <f t="shared" si="233"/>
        <v>Фізична особа</v>
      </c>
      <c r="H1703" s="1" t="s">
        <v>20</v>
      </c>
      <c r="I1703" s="1" t="s">
        <v>20</v>
      </c>
      <c r="J1703" s="1" t="str">
        <f>"Закрито"</f>
        <v>Закрито</v>
      </c>
      <c r="K1703" s="5">
        <v>45611</v>
      </c>
      <c r="L1703" s="1" t="s">
        <v>20</v>
      </c>
      <c r="M1703" s="1" t="s">
        <v>22</v>
      </c>
      <c r="N1703" s="5">
        <v>45611</v>
      </c>
    </row>
    <row r="1704" spans="1:14" x14ac:dyDescent="0.3">
      <c r="A1704" s="1" t="str">
        <f>"15_340-11/2024/Ш"</f>
        <v>15_340-11/2024/Ш</v>
      </c>
      <c r="B1704" s="6">
        <v>45611</v>
      </c>
      <c r="C1704" s="1" t="str">
        <f>"00133"</f>
        <v>00133</v>
      </c>
      <c r="D1704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704" s="1" t="str">
        <f>"03193413"</f>
        <v>03193413</v>
      </c>
      <c r="F170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04" s="1" t="str">
        <f t="shared" si="233"/>
        <v>Фізична особа</v>
      </c>
      <c r="H1704" s="1" t="s">
        <v>20</v>
      </c>
      <c r="I1704" s="1" t="s">
        <v>20</v>
      </c>
      <c r="J1704" s="1" t="str">
        <f>"Закрито"</f>
        <v>Закрито</v>
      </c>
      <c r="K1704" s="5">
        <v>45624</v>
      </c>
      <c r="L1704" s="1" t="s">
        <v>20</v>
      </c>
      <c r="M1704" s="1" t="s">
        <v>22</v>
      </c>
      <c r="N1704" s="5">
        <v>45624</v>
      </c>
    </row>
    <row r="1705" spans="1:14" x14ac:dyDescent="0.3">
      <c r="A1705" s="1" t="str">
        <f>"4_980-11/2024/Я"</f>
        <v>4_980-11/2024/Я</v>
      </c>
      <c r="B1705" s="6">
        <v>45611</v>
      </c>
      <c r="C1705" s="1" t="str">
        <f>"00038"</f>
        <v>00038</v>
      </c>
      <c r="D170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05" s="1" t="s">
        <v>20</v>
      </c>
      <c r="F170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05" s="1" t="str">
        <f t="shared" si="233"/>
        <v>Фізична особа</v>
      </c>
      <c r="H1705" s="1" t="s">
        <v>20</v>
      </c>
      <c r="I1705" s="1" t="s">
        <v>20</v>
      </c>
      <c r="J1705" s="1" t="str">
        <f>"Закрито"</f>
        <v>Закрито</v>
      </c>
      <c r="K1705" s="5">
        <v>45616</v>
      </c>
      <c r="L1705" s="1" t="s">
        <v>20</v>
      </c>
      <c r="M1705" s="1" t="s">
        <v>22</v>
      </c>
      <c r="N1705" s="5">
        <v>45616</v>
      </c>
    </row>
    <row r="1706" spans="1:14" x14ac:dyDescent="0.3">
      <c r="A1706" s="1" t="str">
        <f>"3_1370/4-11/2024/К"</f>
        <v>3_1370/4-11/2024/К</v>
      </c>
      <c r="B1706" s="6">
        <v>45611</v>
      </c>
      <c r="C1706" s="1" t="str">
        <f>"00060"</f>
        <v>00060</v>
      </c>
      <c r="D1706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706" s="1" t="s">
        <v>20</v>
      </c>
      <c r="F1706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706" s="1" t="str">
        <f t="shared" si="233"/>
        <v>Фізична особа</v>
      </c>
      <c r="H1706" s="1" t="s">
        <v>20</v>
      </c>
      <c r="I1706" s="1" t="s">
        <v>20</v>
      </c>
      <c r="J1706" s="1" t="str">
        <f>"Результат підготовлено СНАП"</f>
        <v>Результат підготовлено СНАП</v>
      </c>
      <c r="K1706" s="5">
        <v>45614</v>
      </c>
      <c r="L1706" s="1" t="str">
        <f>"151.4"</f>
        <v>151.4</v>
      </c>
      <c r="M1706" s="1" t="s">
        <v>22</v>
      </c>
      <c r="N1706" s="1" t="s">
        <v>20</v>
      </c>
    </row>
    <row r="1707" spans="1:14" x14ac:dyDescent="0.3">
      <c r="A1707" s="1" t="str">
        <f>"1_5854/2129-11/2024/Т"</f>
        <v>1_5854/2129-11/2024/Т</v>
      </c>
      <c r="B1707" s="6">
        <v>45611</v>
      </c>
      <c r="C1707" s="1" t="str">
        <f>"00038"</f>
        <v>00038</v>
      </c>
      <c r="D170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07" s="1" t="s">
        <v>20</v>
      </c>
      <c r="F170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07" s="1" t="str">
        <f t="shared" si="233"/>
        <v>Фізична особа</v>
      </c>
      <c r="H1707" s="1" t="s">
        <v>20</v>
      </c>
      <c r="I1707" s="1" t="s">
        <v>20</v>
      </c>
      <c r="J1707" s="1" t="str">
        <f>"Закрито"</f>
        <v>Закрито</v>
      </c>
      <c r="K1707" s="5">
        <v>45611</v>
      </c>
      <c r="L1707" s="1" t="s">
        <v>20</v>
      </c>
      <c r="M1707" s="1" t="s">
        <v>22</v>
      </c>
      <c r="N1707" s="5">
        <v>45611</v>
      </c>
    </row>
    <row r="1708" spans="1:14" x14ac:dyDescent="0.3">
      <c r="A1708" s="1" t="str">
        <f>"4_981-11/2024/В"</f>
        <v>4_981-11/2024/В</v>
      </c>
      <c r="B1708" s="6">
        <v>45611</v>
      </c>
      <c r="C1708" s="1" t="str">
        <f>"01597"</f>
        <v>01597</v>
      </c>
      <c r="D1708" s="2" t="s">
        <v>3</v>
      </c>
      <c r="E1708" s="1" t="str">
        <f>"03193413"</f>
        <v>03193413</v>
      </c>
      <c r="F170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08" s="1" t="str">
        <f t="shared" si="233"/>
        <v>Фізична особа</v>
      </c>
      <c r="H1708" s="1" t="s">
        <v>20</v>
      </c>
      <c r="I1708" s="1" t="s">
        <v>20</v>
      </c>
      <c r="J1708" s="1" t="str">
        <f>"Заявника сповіщено про результат"</f>
        <v>Заявника сповіщено про результат</v>
      </c>
      <c r="K1708" s="5">
        <v>45622</v>
      </c>
      <c r="L1708" s="1" t="s">
        <v>20</v>
      </c>
      <c r="M1708" s="1" t="s">
        <v>22</v>
      </c>
      <c r="N1708" s="5">
        <v>45622</v>
      </c>
    </row>
    <row r="1709" spans="1:14" x14ac:dyDescent="0.3">
      <c r="A1709" s="1" t="str">
        <f>"25_434-11/2024/А"</f>
        <v>25_434-11/2024/А</v>
      </c>
      <c r="B1709" s="6">
        <v>45611</v>
      </c>
      <c r="C1709" s="1" t="str">
        <f>"01298"</f>
        <v>01298</v>
      </c>
      <c r="D1709" s="2" t="str">
        <f>"Видача довідки про реєстрацію місця проживання померлого,  у тому числі про поживаючих разом з померлим за однією адресою"</f>
        <v>Видача довідки про реєстрацію місця проживання померлого,  у тому числі про поживаючих разом з померлим за однією адресою</v>
      </c>
      <c r="E1709" s="1" t="s">
        <v>20</v>
      </c>
      <c r="F1709" s="1" t="str">
        <f t="shared" ref="F1709:F1717" si="234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09" s="1" t="str">
        <f>"Юридична особа"</f>
        <v>Юридична особа</v>
      </c>
      <c r="H1709" s="1" t="str">
        <f>"Адвокатський запит"</f>
        <v>Адвокатський запит</v>
      </c>
      <c r="I1709" s="1" t="s">
        <v>20</v>
      </c>
      <c r="J1709" s="1" t="str">
        <f t="shared" ref="J1709:J1717" si="235">"Закрито"</f>
        <v>Закрито</v>
      </c>
      <c r="K1709" s="5">
        <v>45611</v>
      </c>
      <c r="L1709" s="1" t="s">
        <v>20</v>
      </c>
      <c r="M1709" s="1" t="s">
        <v>22</v>
      </c>
      <c r="N1709" s="5">
        <v>45611</v>
      </c>
    </row>
    <row r="1710" spans="1:14" x14ac:dyDescent="0.3">
      <c r="A1710" s="1" t="str">
        <f>"1_5855/2129-11/2024/Г"</f>
        <v>1_5855/2129-11/2024/Г</v>
      </c>
      <c r="B1710" s="6">
        <v>45611</v>
      </c>
      <c r="C1710" s="1" t="str">
        <f>"00038"</f>
        <v>00038</v>
      </c>
      <c r="D171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10" s="1" t="s">
        <v>20</v>
      </c>
      <c r="F1710" s="1" t="str">
        <f t="shared" si="234"/>
        <v>Центр надання адміністративних послуг Рогатинської міської ради</v>
      </c>
      <c r="G1710" s="1" t="str">
        <f t="shared" ref="G1710:G1733" si="236">"Фізична особа"</f>
        <v>Фізична особа</v>
      </c>
      <c r="H1710" s="1" t="s">
        <v>20</v>
      </c>
      <c r="I1710" s="1" t="s">
        <v>20</v>
      </c>
      <c r="J1710" s="1" t="str">
        <f t="shared" si="235"/>
        <v>Закрито</v>
      </c>
      <c r="K1710" s="5">
        <v>45611</v>
      </c>
      <c r="L1710" s="1" t="s">
        <v>20</v>
      </c>
      <c r="M1710" s="1" t="s">
        <v>22</v>
      </c>
      <c r="N1710" s="5">
        <v>45611</v>
      </c>
    </row>
    <row r="1711" spans="1:14" x14ac:dyDescent="0.3">
      <c r="A1711" s="1" t="str">
        <f>"15_341-11/2024/С"</f>
        <v>15_341-11/2024/С</v>
      </c>
      <c r="B1711" s="6">
        <v>45611</v>
      </c>
      <c r="C1711" s="1" t="str">
        <f>"00038"</f>
        <v>00038</v>
      </c>
      <c r="D171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11" s="1" t="s">
        <v>20</v>
      </c>
      <c r="F1711" s="1" t="str">
        <f t="shared" si="234"/>
        <v>Центр надання адміністративних послуг Рогатинської міської ради</v>
      </c>
      <c r="G1711" s="1" t="str">
        <f t="shared" si="236"/>
        <v>Фізична особа</v>
      </c>
      <c r="H1711" s="1" t="s">
        <v>20</v>
      </c>
      <c r="I1711" s="1" t="s">
        <v>20</v>
      </c>
      <c r="J1711" s="1" t="str">
        <f t="shared" si="235"/>
        <v>Закрито</v>
      </c>
      <c r="K1711" s="5">
        <v>45611</v>
      </c>
      <c r="L1711" s="1" t="s">
        <v>20</v>
      </c>
      <c r="M1711" s="1" t="s">
        <v>22</v>
      </c>
      <c r="N1711" s="5">
        <v>45611</v>
      </c>
    </row>
    <row r="1712" spans="1:14" x14ac:dyDescent="0.3">
      <c r="A1712" s="1" t="str">
        <f>"3_853-11/2024/М"</f>
        <v>3_853-11/2024/М</v>
      </c>
      <c r="B1712" s="6">
        <v>45611</v>
      </c>
      <c r="C1712" s="1" t="str">
        <f>"00038"</f>
        <v>00038</v>
      </c>
      <c r="D171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12" s="1" t="s">
        <v>20</v>
      </c>
      <c r="F1712" s="1" t="str">
        <f t="shared" si="234"/>
        <v>Центр надання адміністративних послуг Рогатинської міської ради</v>
      </c>
      <c r="G1712" s="1" t="str">
        <f t="shared" si="236"/>
        <v>Фізична особа</v>
      </c>
      <c r="H1712" s="1" t="s">
        <v>20</v>
      </c>
      <c r="I1712" s="1" t="s">
        <v>20</v>
      </c>
      <c r="J1712" s="1" t="str">
        <f t="shared" si="235"/>
        <v>Закрито</v>
      </c>
      <c r="K1712" s="5">
        <v>45611</v>
      </c>
      <c r="L1712" s="1" t="s">
        <v>20</v>
      </c>
      <c r="M1712" s="1" t="s">
        <v>22</v>
      </c>
      <c r="N1712" s="5">
        <v>45611</v>
      </c>
    </row>
    <row r="1713" spans="1:14" x14ac:dyDescent="0.3">
      <c r="A1713" s="1" t="str">
        <f>"3_854-11/2024/М"</f>
        <v>3_854-11/2024/М</v>
      </c>
      <c r="B1713" s="6">
        <v>45611</v>
      </c>
      <c r="C1713" s="1" t="str">
        <f>"00038"</f>
        <v>00038</v>
      </c>
      <c r="D171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13" s="1" t="s">
        <v>20</v>
      </c>
      <c r="F1713" s="1" t="str">
        <f t="shared" si="234"/>
        <v>Центр надання адміністративних послуг Рогатинської міської ради</v>
      </c>
      <c r="G1713" s="1" t="str">
        <f t="shared" si="236"/>
        <v>Фізична особа</v>
      </c>
      <c r="H1713" s="1" t="s">
        <v>20</v>
      </c>
      <c r="I1713" s="1" t="s">
        <v>20</v>
      </c>
      <c r="J1713" s="1" t="str">
        <f t="shared" si="235"/>
        <v>Закрито</v>
      </c>
      <c r="K1713" s="5">
        <v>45611</v>
      </c>
      <c r="L1713" s="1" t="s">
        <v>20</v>
      </c>
      <c r="M1713" s="1" t="s">
        <v>22</v>
      </c>
      <c r="N1713" s="5">
        <v>45611</v>
      </c>
    </row>
    <row r="1714" spans="1:14" x14ac:dyDescent="0.3">
      <c r="A1714" s="1" t="str">
        <f>"15_342-11/2024/С"</f>
        <v>15_342-11/2024/С</v>
      </c>
      <c r="B1714" s="6">
        <v>45611</v>
      </c>
      <c r="C1714" s="1" t="str">
        <f>"33"</f>
        <v>33</v>
      </c>
      <c r="D1714" s="2" t="str">
        <f>"33 Довідки різного характеру"</f>
        <v>33 Довідки різного характеру</v>
      </c>
      <c r="E1714" s="1" t="s">
        <v>20</v>
      </c>
      <c r="F1714" s="1" t="str">
        <f t="shared" si="234"/>
        <v>Центр надання адміністративних послуг Рогатинської міської ради</v>
      </c>
      <c r="G1714" s="1" t="str">
        <f t="shared" si="236"/>
        <v>Фізична особа</v>
      </c>
      <c r="H1714" s="1" t="s">
        <v>20</v>
      </c>
      <c r="I1714" s="1" t="s">
        <v>20</v>
      </c>
      <c r="J1714" s="1" t="str">
        <f t="shared" si="235"/>
        <v>Закрито</v>
      </c>
      <c r="K1714" s="5">
        <v>45611</v>
      </c>
      <c r="L1714" s="1" t="s">
        <v>20</v>
      </c>
      <c r="M1714" s="1" t="s">
        <v>22</v>
      </c>
      <c r="N1714" s="5">
        <v>45611</v>
      </c>
    </row>
    <row r="1715" spans="1:14" x14ac:dyDescent="0.3">
      <c r="A1715" s="1" t="str">
        <f>"1_5856/2129-11/2024/М"</f>
        <v>1_5856/2129-11/2024/М</v>
      </c>
      <c r="B1715" s="6">
        <v>45611</v>
      </c>
      <c r="C1715" s="1" t="str">
        <f>"00038"</f>
        <v>00038</v>
      </c>
      <c r="D171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15" s="1" t="s">
        <v>20</v>
      </c>
      <c r="F1715" s="1" t="str">
        <f t="shared" si="234"/>
        <v>Центр надання адміністративних послуг Рогатинської міської ради</v>
      </c>
      <c r="G1715" s="1" t="str">
        <f t="shared" si="236"/>
        <v>Фізична особа</v>
      </c>
      <c r="H1715" s="1" t="s">
        <v>20</v>
      </c>
      <c r="I1715" s="1" t="s">
        <v>20</v>
      </c>
      <c r="J1715" s="1" t="str">
        <f t="shared" si="235"/>
        <v>Закрито</v>
      </c>
      <c r="K1715" s="5">
        <v>45611</v>
      </c>
      <c r="L1715" s="1" t="s">
        <v>20</v>
      </c>
      <c r="M1715" s="1" t="s">
        <v>22</v>
      </c>
      <c r="N1715" s="5">
        <v>45611</v>
      </c>
    </row>
    <row r="1716" spans="1:14" x14ac:dyDescent="0.3">
      <c r="A1716" s="1" t="str">
        <f>"7_261/2129-11/2024/П"</f>
        <v>7_261/2129-11/2024/П</v>
      </c>
      <c r="B1716" s="6">
        <v>45611</v>
      </c>
      <c r="C1716" s="1" t="str">
        <f>"33"</f>
        <v>33</v>
      </c>
      <c r="D1716" s="2" t="str">
        <f>"33 Довідки різного характеру"</f>
        <v>33 Довідки різного характеру</v>
      </c>
      <c r="E1716" s="1" t="s">
        <v>20</v>
      </c>
      <c r="F1716" s="1" t="str">
        <f t="shared" si="234"/>
        <v>Центр надання адміністративних послуг Рогатинської міської ради</v>
      </c>
      <c r="G1716" s="1" t="str">
        <f t="shared" si="236"/>
        <v>Фізична особа</v>
      </c>
      <c r="H1716" s="1" t="s">
        <v>20</v>
      </c>
      <c r="I1716" s="1" t="s">
        <v>20</v>
      </c>
      <c r="J1716" s="1" t="str">
        <f t="shared" si="235"/>
        <v>Закрито</v>
      </c>
      <c r="K1716" s="5">
        <v>45611</v>
      </c>
      <c r="L1716" s="1" t="s">
        <v>20</v>
      </c>
      <c r="M1716" s="1" t="s">
        <v>22</v>
      </c>
      <c r="N1716" s="5">
        <v>45611</v>
      </c>
    </row>
    <row r="1717" spans="1:14" x14ac:dyDescent="0.3">
      <c r="A1717" s="1" t="str">
        <f>"19_525-11/2024/В"</f>
        <v>19_525-11/2024/В</v>
      </c>
      <c r="B1717" s="6">
        <v>45611</v>
      </c>
      <c r="C1717" s="1" t="str">
        <f>"00038"</f>
        <v>00038</v>
      </c>
      <c r="D171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17" s="1" t="s">
        <v>20</v>
      </c>
      <c r="F1717" s="1" t="str">
        <f t="shared" si="234"/>
        <v>Центр надання адміністративних послуг Рогатинської міської ради</v>
      </c>
      <c r="G1717" s="1" t="str">
        <f t="shared" si="236"/>
        <v>Фізична особа</v>
      </c>
      <c r="H1717" s="1" t="s">
        <v>20</v>
      </c>
      <c r="I1717" s="1" t="s">
        <v>20</v>
      </c>
      <c r="J1717" s="1" t="str">
        <f t="shared" si="235"/>
        <v>Закрито</v>
      </c>
      <c r="K1717" s="5">
        <v>45611</v>
      </c>
      <c r="L1717" s="1" t="s">
        <v>20</v>
      </c>
      <c r="M1717" s="1" t="s">
        <v>22</v>
      </c>
      <c r="N1717" s="5">
        <v>45611</v>
      </c>
    </row>
    <row r="1718" spans="1:14" x14ac:dyDescent="0.3">
      <c r="A1718" s="1" t="str">
        <f>"14_993-11/2024/П"</f>
        <v>14_993-11/2024/П</v>
      </c>
      <c r="B1718" s="6">
        <v>45611</v>
      </c>
      <c r="C1718" s="1" t="str">
        <f>"01775"</f>
        <v>01775</v>
      </c>
      <c r="D1718" s="2" t="str">
        <f>"Призначення одноразової натуральної допомоги ""пакунок малюка"""</f>
        <v>Призначення одноразової натуральної допомоги "пакунок малюка"</v>
      </c>
      <c r="E1718" s="1" t="str">
        <f>"03193413"</f>
        <v>03193413</v>
      </c>
      <c r="F171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18" s="1" t="str">
        <f t="shared" si="236"/>
        <v>Фізична особа</v>
      </c>
      <c r="H1718" s="1" t="s">
        <v>20</v>
      </c>
      <c r="I1718" s="1" t="s">
        <v>20</v>
      </c>
      <c r="J1718" s="1" t="str">
        <f>"На обробці в СНАП"</f>
        <v>На обробці в СНАП</v>
      </c>
      <c r="K1718" s="1" t="s">
        <v>20</v>
      </c>
      <c r="L1718" s="1" t="s">
        <v>20</v>
      </c>
      <c r="M1718" s="1" t="s">
        <v>22</v>
      </c>
      <c r="N1718" s="1" t="s">
        <v>20</v>
      </c>
    </row>
    <row r="1719" spans="1:14" x14ac:dyDescent="0.3">
      <c r="A1719" s="1" t="str">
        <f>"19_526-11/2024/В"</f>
        <v>19_526-11/2024/В</v>
      </c>
      <c r="B1719" s="6">
        <v>45611</v>
      </c>
      <c r="C1719" s="1" t="str">
        <f t="shared" ref="C1719:C1724" si="237">"00038"</f>
        <v>00038</v>
      </c>
      <c r="D1719" s="2" t="str">
        <f t="shared" ref="D1719:D1724" si="238"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19" s="1" t="s">
        <v>20</v>
      </c>
      <c r="F1719" s="1" t="str">
        <f t="shared" ref="F1719:F1749" si="239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19" s="1" t="str">
        <f t="shared" si="236"/>
        <v>Фізична особа</v>
      </c>
      <c r="H1719" s="1" t="s">
        <v>20</v>
      </c>
      <c r="I1719" s="1" t="s">
        <v>20</v>
      </c>
      <c r="J1719" s="1" t="str">
        <f t="shared" ref="J1719:J1724" si="240">"Закрито"</f>
        <v>Закрито</v>
      </c>
      <c r="K1719" s="5">
        <v>45611</v>
      </c>
      <c r="L1719" s="1" t="s">
        <v>20</v>
      </c>
      <c r="M1719" s="1" t="s">
        <v>22</v>
      </c>
      <c r="N1719" s="5">
        <v>45611</v>
      </c>
    </row>
    <row r="1720" spans="1:14" x14ac:dyDescent="0.3">
      <c r="A1720" s="1" t="str">
        <f>"1_5857/2129-11/2024/П"</f>
        <v>1_5857/2129-11/2024/П</v>
      </c>
      <c r="B1720" s="6">
        <v>45611</v>
      </c>
      <c r="C1720" s="1" t="str">
        <f t="shared" si="237"/>
        <v>00038</v>
      </c>
      <c r="D1720" s="2" t="str">
        <f t="shared" si="238"/>
        <v>Видача довідки про реєстрацію місця проживання або місця перебування особи</v>
      </c>
      <c r="E1720" s="1" t="s">
        <v>20</v>
      </c>
      <c r="F1720" s="1" t="str">
        <f t="shared" si="239"/>
        <v>Центр надання адміністративних послуг Рогатинської міської ради</v>
      </c>
      <c r="G1720" s="1" t="str">
        <f t="shared" si="236"/>
        <v>Фізична особа</v>
      </c>
      <c r="H1720" s="1" t="s">
        <v>20</v>
      </c>
      <c r="I1720" s="1" t="s">
        <v>20</v>
      </c>
      <c r="J1720" s="1" t="str">
        <f t="shared" si="240"/>
        <v>Закрито</v>
      </c>
      <c r="K1720" s="5">
        <v>45611</v>
      </c>
      <c r="L1720" s="1" t="s">
        <v>20</v>
      </c>
      <c r="M1720" s="1" t="s">
        <v>22</v>
      </c>
      <c r="N1720" s="5">
        <v>45611</v>
      </c>
    </row>
    <row r="1721" spans="1:14" x14ac:dyDescent="0.3">
      <c r="A1721" s="1" t="str">
        <f>"14_994-11/2024/П"</f>
        <v>14_994-11/2024/П</v>
      </c>
      <c r="B1721" s="6">
        <v>45611</v>
      </c>
      <c r="C1721" s="1" t="str">
        <f t="shared" si="237"/>
        <v>00038</v>
      </c>
      <c r="D1721" s="2" t="str">
        <f t="shared" si="238"/>
        <v>Видача довідки про реєстрацію місця проживання або місця перебування особи</v>
      </c>
      <c r="E1721" s="1" t="s">
        <v>20</v>
      </c>
      <c r="F1721" s="1" t="str">
        <f t="shared" si="239"/>
        <v>Центр надання адміністративних послуг Рогатинської міської ради</v>
      </c>
      <c r="G1721" s="1" t="str">
        <f t="shared" si="236"/>
        <v>Фізична особа</v>
      </c>
      <c r="H1721" s="1" t="s">
        <v>20</v>
      </c>
      <c r="I1721" s="1" t="s">
        <v>20</v>
      </c>
      <c r="J1721" s="1" t="str">
        <f t="shared" si="240"/>
        <v>Закрито</v>
      </c>
      <c r="K1721" s="5">
        <v>45611</v>
      </c>
      <c r="L1721" s="1" t="s">
        <v>20</v>
      </c>
      <c r="M1721" s="1" t="s">
        <v>22</v>
      </c>
      <c r="N1721" s="5">
        <v>45611</v>
      </c>
    </row>
    <row r="1722" spans="1:14" x14ac:dyDescent="0.3">
      <c r="A1722" s="1" t="str">
        <f>"1_5858/2129-11/2024/Т"</f>
        <v>1_5858/2129-11/2024/Т</v>
      </c>
      <c r="B1722" s="6">
        <v>45611</v>
      </c>
      <c r="C1722" s="1" t="str">
        <f t="shared" si="237"/>
        <v>00038</v>
      </c>
      <c r="D1722" s="2" t="str">
        <f t="shared" si="238"/>
        <v>Видача довідки про реєстрацію місця проживання або місця перебування особи</v>
      </c>
      <c r="E1722" s="1" t="s">
        <v>20</v>
      </c>
      <c r="F1722" s="1" t="str">
        <f t="shared" si="239"/>
        <v>Центр надання адміністративних послуг Рогатинської міської ради</v>
      </c>
      <c r="G1722" s="1" t="str">
        <f t="shared" si="236"/>
        <v>Фізична особа</v>
      </c>
      <c r="H1722" s="1" t="s">
        <v>20</v>
      </c>
      <c r="I1722" s="1" t="s">
        <v>20</v>
      </c>
      <c r="J1722" s="1" t="str">
        <f t="shared" si="240"/>
        <v>Закрито</v>
      </c>
      <c r="K1722" s="5">
        <v>45611</v>
      </c>
      <c r="L1722" s="1" t="s">
        <v>20</v>
      </c>
      <c r="M1722" s="1" t="s">
        <v>22</v>
      </c>
      <c r="N1722" s="5">
        <v>45611</v>
      </c>
    </row>
    <row r="1723" spans="1:14" x14ac:dyDescent="0.3">
      <c r="A1723" s="1" t="str">
        <f>"14_995-11/2024/С"</f>
        <v>14_995-11/2024/С</v>
      </c>
      <c r="B1723" s="6">
        <v>45611</v>
      </c>
      <c r="C1723" s="1" t="str">
        <f t="shared" si="237"/>
        <v>00038</v>
      </c>
      <c r="D1723" s="2" t="str">
        <f t="shared" si="238"/>
        <v>Видача довідки про реєстрацію місця проживання або місця перебування особи</v>
      </c>
      <c r="E1723" s="1" t="s">
        <v>20</v>
      </c>
      <c r="F1723" s="1" t="str">
        <f t="shared" si="239"/>
        <v>Центр надання адміністративних послуг Рогатинської міської ради</v>
      </c>
      <c r="G1723" s="1" t="str">
        <f t="shared" si="236"/>
        <v>Фізична особа</v>
      </c>
      <c r="H1723" s="1" t="s">
        <v>20</v>
      </c>
      <c r="I1723" s="1" t="s">
        <v>20</v>
      </c>
      <c r="J1723" s="1" t="str">
        <f t="shared" si="240"/>
        <v>Закрито</v>
      </c>
      <c r="K1723" s="5">
        <v>45611</v>
      </c>
      <c r="L1723" s="1" t="s">
        <v>20</v>
      </c>
      <c r="M1723" s="1" t="s">
        <v>22</v>
      </c>
      <c r="N1723" s="5">
        <v>45611</v>
      </c>
    </row>
    <row r="1724" spans="1:14" x14ac:dyDescent="0.3">
      <c r="A1724" s="1" t="str">
        <f>"1_5859/2129-11/2024/Ч"</f>
        <v>1_5859/2129-11/2024/Ч</v>
      </c>
      <c r="B1724" s="6">
        <v>45611</v>
      </c>
      <c r="C1724" s="1" t="str">
        <f t="shared" si="237"/>
        <v>00038</v>
      </c>
      <c r="D1724" s="2" t="str">
        <f t="shared" si="238"/>
        <v>Видача довідки про реєстрацію місця проживання або місця перебування особи</v>
      </c>
      <c r="E1724" s="1" t="s">
        <v>20</v>
      </c>
      <c r="F1724" s="1" t="str">
        <f t="shared" si="239"/>
        <v>Центр надання адміністративних послуг Рогатинської міської ради</v>
      </c>
      <c r="G1724" s="1" t="str">
        <f t="shared" si="236"/>
        <v>Фізична особа</v>
      </c>
      <c r="H1724" s="1" t="s">
        <v>20</v>
      </c>
      <c r="I1724" s="1" t="s">
        <v>20</v>
      </c>
      <c r="J1724" s="1" t="str">
        <f t="shared" si="240"/>
        <v>Закрито</v>
      </c>
      <c r="K1724" s="5">
        <v>45611</v>
      </c>
      <c r="L1724" s="1" t="s">
        <v>20</v>
      </c>
      <c r="M1724" s="1" t="s">
        <v>22</v>
      </c>
      <c r="N1724" s="5">
        <v>45611</v>
      </c>
    </row>
    <row r="1725" spans="1:14" x14ac:dyDescent="0.3">
      <c r="A1725" s="1" t="str">
        <f>"2_1953/2129-11/2024/П"</f>
        <v>2_1953/2129-11/2024/П</v>
      </c>
      <c r="B1725" s="6">
        <v>45611</v>
      </c>
      <c r="C1725" s="1" t="str">
        <f>"00041"</f>
        <v>00041</v>
      </c>
      <c r="D172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25" s="1" t="s">
        <v>20</v>
      </c>
      <c r="F1725" s="1" t="str">
        <f t="shared" si="239"/>
        <v>Центр надання адміністративних послуг Рогатинської міської ради</v>
      </c>
      <c r="G1725" s="1" t="str">
        <f t="shared" si="236"/>
        <v>Фізична особа</v>
      </c>
      <c r="H1725" s="1" t="s">
        <v>20</v>
      </c>
      <c r="I1725" s="1" t="s">
        <v>20</v>
      </c>
      <c r="J1725" s="1" t="str">
        <f>"Результат підготовлено СНАП"</f>
        <v>Результат підготовлено СНАП</v>
      </c>
      <c r="K1725" s="5">
        <v>45614</v>
      </c>
      <c r="L1725" s="1" t="str">
        <f>"300.0"</f>
        <v>300.0</v>
      </c>
      <c r="M1725" s="1" t="s">
        <v>22</v>
      </c>
      <c r="N1725" s="1" t="s">
        <v>20</v>
      </c>
    </row>
    <row r="1726" spans="1:14" x14ac:dyDescent="0.3">
      <c r="A1726" s="1" t="str">
        <f>"2_1954/2129-11/2024/П"</f>
        <v>2_1954/2129-11/2024/П</v>
      </c>
      <c r="B1726" s="6">
        <v>45611</v>
      </c>
      <c r="C1726" s="1" t="str">
        <f>"00041"</f>
        <v>00041</v>
      </c>
      <c r="D172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26" s="1" t="s">
        <v>20</v>
      </c>
      <c r="F1726" s="1" t="str">
        <f t="shared" si="239"/>
        <v>Центр надання адміністративних послуг Рогатинської міської ради</v>
      </c>
      <c r="G1726" s="1" t="str">
        <f t="shared" si="236"/>
        <v>Фізична особа</v>
      </c>
      <c r="H1726" s="1" t="s">
        <v>20</v>
      </c>
      <c r="I1726" s="1" t="s">
        <v>20</v>
      </c>
      <c r="J1726" s="1" t="str">
        <f>"Результат підготовлено СНАП"</f>
        <v>Результат підготовлено СНАП</v>
      </c>
      <c r="K1726" s="5">
        <v>45614</v>
      </c>
      <c r="L1726" s="1" t="s">
        <v>20</v>
      </c>
      <c r="M1726" s="1" t="s">
        <v>22</v>
      </c>
      <c r="N1726" s="1" t="s">
        <v>20</v>
      </c>
    </row>
    <row r="1727" spans="1:14" x14ac:dyDescent="0.3">
      <c r="A1727" s="1" t="str">
        <f>"2_1955/2129-11/2024/К"</f>
        <v>2_1955/2129-11/2024/К</v>
      </c>
      <c r="B1727" s="6">
        <v>45611</v>
      </c>
      <c r="C1727" s="1" t="str">
        <f>"00041"</f>
        <v>00041</v>
      </c>
      <c r="D172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27" s="1" t="s">
        <v>20</v>
      </c>
      <c r="F1727" s="1" t="str">
        <f t="shared" si="239"/>
        <v>Центр надання адміністративних послуг Рогатинської міської ради</v>
      </c>
      <c r="G1727" s="1" t="str">
        <f t="shared" si="236"/>
        <v>Фізична особа</v>
      </c>
      <c r="H1727" s="1" t="s">
        <v>20</v>
      </c>
      <c r="I1727" s="1" t="s">
        <v>20</v>
      </c>
      <c r="J1727" s="1" t="str">
        <f>"Результат підготовлено СНАП"</f>
        <v>Результат підготовлено СНАП</v>
      </c>
      <c r="K1727" s="5">
        <v>45614</v>
      </c>
      <c r="L1727" s="1" t="s">
        <v>20</v>
      </c>
      <c r="M1727" s="1" t="s">
        <v>22</v>
      </c>
      <c r="N1727" s="1" t="s">
        <v>20</v>
      </c>
    </row>
    <row r="1728" spans="1:14" x14ac:dyDescent="0.3">
      <c r="A1728" s="1" t="str">
        <f>"2_1956/2129-11/2024/Г"</f>
        <v>2_1956/2129-11/2024/Г</v>
      </c>
      <c r="B1728" s="6">
        <v>45611</v>
      </c>
      <c r="C1728" s="1" t="str">
        <f>"00041"</f>
        <v>00041</v>
      </c>
      <c r="D172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28" s="1" t="s">
        <v>20</v>
      </c>
      <c r="F1728" s="1" t="str">
        <f t="shared" si="239"/>
        <v>Центр надання адміністративних послуг Рогатинської міської ради</v>
      </c>
      <c r="G1728" s="1" t="str">
        <f t="shared" si="236"/>
        <v>Фізична особа</v>
      </c>
      <c r="H1728" s="1" t="s">
        <v>20</v>
      </c>
      <c r="I1728" s="1" t="s">
        <v>20</v>
      </c>
      <c r="J1728" s="1" t="str">
        <f>"Результат підготовлено СНАП"</f>
        <v>Результат підготовлено СНАП</v>
      </c>
      <c r="K1728" s="5">
        <v>45614</v>
      </c>
      <c r="L1728" s="1" t="s">
        <v>20</v>
      </c>
      <c r="M1728" s="1" t="s">
        <v>22</v>
      </c>
      <c r="N1728" s="1" t="s">
        <v>20</v>
      </c>
    </row>
    <row r="1729" spans="1:14" x14ac:dyDescent="0.3">
      <c r="A1729" s="1" t="str">
        <f>"2_1957/2129-11/2024/Г"</f>
        <v>2_1957/2129-11/2024/Г</v>
      </c>
      <c r="B1729" s="6">
        <v>45611</v>
      </c>
      <c r="C1729" s="1" t="str">
        <f>"00041"</f>
        <v>00041</v>
      </c>
      <c r="D172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29" s="1" t="s">
        <v>20</v>
      </c>
      <c r="F1729" s="1" t="str">
        <f t="shared" si="239"/>
        <v>Центр надання адміністративних послуг Рогатинської міської ради</v>
      </c>
      <c r="G1729" s="1" t="str">
        <f t="shared" si="236"/>
        <v>Фізична особа</v>
      </c>
      <c r="H1729" s="1" t="s">
        <v>20</v>
      </c>
      <c r="I1729" s="1" t="s">
        <v>20</v>
      </c>
      <c r="J1729" s="1" t="str">
        <f>"Результат підготовлено СНАП"</f>
        <v>Результат підготовлено СНАП</v>
      </c>
      <c r="K1729" s="5">
        <v>45614</v>
      </c>
      <c r="L1729" s="1" t="s">
        <v>20</v>
      </c>
      <c r="M1729" s="1" t="s">
        <v>22</v>
      </c>
      <c r="N1729" s="1" t="s">
        <v>20</v>
      </c>
    </row>
    <row r="1730" spans="1:14" x14ac:dyDescent="0.3">
      <c r="A1730" s="1" t="str">
        <f>"2_1958/2129-11/2024/Х"</f>
        <v>2_1958/2129-11/2024/Х</v>
      </c>
      <c r="B1730" s="6">
        <v>45611</v>
      </c>
      <c r="C1730" s="1" t="str">
        <f>"00047"</f>
        <v>00047</v>
      </c>
      <c r="D1730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730" s="1" t="s">
        <v>20</v>
      </c>
      <c r="F1730" s="1" t="str">
        <f t="shared" si="239"/>
        <v>Центр надання адміністративних послуг Рогатинської міської ради</v>
      </c>
      <c r="G1730" s="1" t="str">
        <f t="shared" si="236"/>
        <v>Фізична особа</v>
      </c>
      <c r="H1730" s="1" t="s">
        <v>20</v>
      </c>
      <c r="I1730" s="1" t="s">
        <v>20</v>
      </c>
      <c r="J1730" s="1" t="str">
        <f>"Закрито"</f>
        <v>Закрито</v>
      </c>
      <c r="K1730" s="5">
        <v>45611</v>
      </c>
      <c r="L1730" s="1" t="str">
        <f>"80.0"</f>
        <v>80.0</v>
      </c>
      <c r="M1730" s="1" t="s">
        <v>22</v>
      </c>
      <c r="N1730" s="5">
        <v>45611</v>
      </c>
    </row>
    <row r="1731" spans="1:14" x14ac:dyDescent="0.3">
      <c r="A1731" s="1" t="str">
        <f>"2_1959/2129-11/2024/К"</f>
        <v>2_1959/2129-11/2024/К</v>
      </c>
      <c r="B1731" s="6">
        <v>45611</v>
      </c>
      <c r="C1731" s="1" t="str">
        <f>"00041"</f>
        <v>00041</v>
      </c>
      <c r="D173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31" s="1" t="s">
        <v>20</v>
      </c>
      <c r="F1731" s="1" t="str">
        <f t="shared" si="239"/>
        <v>Центр надання адміністративних послуг Рогатинської міської ради</v>
      </c>
      <c r="G1731" s="1" t="str">
        <f t="shared" si="236"/>
        <v>Фізична особа</v>
      </c>
      <c r="H1731" s="1" t="s">
        <v>20</v>
      </c>
      <c r="I1731" s="1" t="s">
        <v>20</v>
      </c>
      <c r="J1731" s="1" t="str">
        <f>"Результат підготовлено СНАП"</f>
        <v>Результат підготовлено СНАП</v>
      </c>
      <c r="K1731" s="5">
        <v>45614</v>
      </c>
      <c r="L1731" s="1" t="str">
        <f>"300.0"</f>
        <v>300.0</v>
      </c>
      <c r="M1731" s="1" t="s">
        <v>22</v>
      </c>
      <c r="N1731" s="1" t="s">
        <v>20</v>
      </c>
    </row>
    <row r="1732" spans="1:14" x14ac:dyDescent="0.3">
      <c r="A1732" s="1" t="str">
        <f>"2_1960/2129-11/2024/Г"</f>
        <v>2_1960/2129-11/2024/Г</v>
      </c>
      <c r="B1732" s="6">
        <v>45611</v>
      </c>
      <c r="C1732" s="1" t="str">
        <f>"00041"</f>
        <v>00041</v>
      </c>
      <c r="D173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32" s="1" t="s">
        <v>20</v>
      </c>
      <c r="F1732" s="1" t="str">
        <f t="shared" si="239"/>
        <v>Центр надання адміністративних послуг Рогатинської міської ради</v>
      </c>
      <c r="G1732" s="1" t="str">
        <f t="shared" si="236"/>
        <v>Фізична особа</v>
      </c>
      <c r="H1732" s="1" t="s">
        <v>20</v>
      </c>
      <c r="I1732" s="1" t="s">
        <v>20</v>
      </c>
      <c r="J1732" s="1" t="str">
        <f>"Закрито"</f>
        <v>Закрито</v>
      </c>
      <c r="K1732" s="5">
        <v>45611</v>
      </c>
      <c r="L1732" s="1" t="str">
        <f>"300.0"</f>
        <v>300.0</v>
      </c>
      <c r="M1732" s="1" t="s">
        <v>22</v>
      </c>
      <c r="N1732" s="5">
        <v>45611</v>
      </c>
    </row>
    <row r="1733" spans="1:14" x14ac:dyDescent="0.3">
      <c r="A1733" s="1" t="str">
        <f>"2_1961/2129-11/2024/К"</f>
        <v>2_1961/2129-11/2024/К</v>
      </c>
      <c r="B1733" s="6">
        <v>45611</v>
      </c>
      <c r="C1733" s="1" t="str">
        <f>"00041"</f>
        <v>00041</v>
      </c>
      <c r="D1733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33" s="1" t="s">
        <v>20</v>
      </c>
      <c r="F1733" s="1" t="str">
        <f t="shared" si="239"/>
        <v>Центр надання адміністративних послуг Рогатинської міської ради</v>
      </c>
      <c r="G1733" s="1" t="str">
        <f t="shared" si="236"/>
        <v>Фізична особа</v>
      </c>
      <c r="H1733" s="1" t="s">
        <v>20</v>
      </c>
      <c r="I1733" s="1" t="s">
        <v>20</v>
      </c>
      <c r="J1733" s="1" t="str">
        <f>"Результат підготовлено СНАП"</f>
        <v>Результат підготовлено СНАП</v>
      </c>
      <c r="K1733" s="5">
        <v>45614</v>
      </c>
      <c r="L1733" s="1" t="str">
        <f>"300.0"</f>
        <v>300.0</v>
      </c>
      <c r="M1733" s="1" t="s">
        <v>22</v>
      </c>
      <c r="N1733" s="1" t="s">
        <v>20</v>
      </c>
    </row>
    <row r="1734" spans="1:14" x14ac:dyDescent="0.3">
      <c r="A1734" s="1" t="str">
        <f>"2_1962/2129-11/2024/Т"</f>
        <v>2_1962/2129-11/2024/Т</v>
      </c>
      <c r="B1734" s="6">
        <v>45611</v>
      </c>
      <c r="C1734" s="1" t="str">
        <f>"00042"</f>
        <v>00042</v>
      </c>
      <c r="D1734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734" s="1" t="s">
        <v>20</v>
      </c>
      <c r="F1734" s="1" t="str">
        <f t="shared" si="239"/>
        <v>Центр надання адміністративних послуг Рогатинської міської ради</v>
      </c>
      <c r="G1734" s="1" t="str">
        <f>"Юридична особа"</f>
        <v>Юридична особа</v>
      </c>
      <c r="H1734" s="1" t="str">
        <f>"ТОВ""Захід-Агро МХП"""</f>
        <v>ТОВ"Захід-Агро МХП"</v>
      </c>
      <c r="I1734" s="1" t="str">
        <f>"37042858"</f>
        <v>37042858</v>
      </c>
      <c r="J1734" s="1" t="str">
        <f>"Закрито"</f>
        <v>Закрито</v>
      </c>
      <c r="K1734" s="5">
        <v>45611</v>
      </c>
      <c r="L1734" s="1" t="str">
        <f>"150.0"</f>
        <v>150.0</v>
      </c>
      <c r="M1734" s="1" t="s">
        <v>22</v>
      </c>
      <c r="N1734" s="5">
        <v>45611</v>
      </c>
    </row>
    <row r="1735" spans="1:14" x14ac:dyDescent="0.3">
      <c r="A1735" s="1" t="str">
        <f>"2_1963/2129-11/2024/К"</f>
        <v>2_1963/2129-11/2024/К</v>
      </c>
      <c r="B1735" s="6">
        <v>45611</v>
      </c>
      <c r="C1735" s="1" t="str">
        <f>"00041"</f>
        <v>00041</v>
      </c>
      <c r="D173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35" s="1" t="s">
        <v>20</v>
      </c>
      <c r="F1735" s="1" t="str">
        <f t="shared" si="239"/>
        <v>Центр надання адміністративних послуг Рогатинської міської ради</v>
      </c>
      <c r="G1735" s="1" t="str">
        <f>"Фізична особа"</f>
        <v>Фізична особа</v>
      </c>
      <c r="H1735" s="1" t="s">
        <v>20</v>
      </c>
      <c r="I1735" s="1" t="s">
        <v>20</v>
      </c>
      <c r="J1735" s="1" t="str">
        <f>"Результат підготовлено СНАП"</f>
        <v>Результат підготовлено СНАП</v>
      </c>
      <c r="K1735" s="5">
        <v>45614</v>
      </c>
      <c r="L1735" s="1" t="str">
        <f>"300.0"</f>
        <v>300.0</v>
      </c>
      <c r="M1735" s="1" t="s">
        <v>22</v>
      </c>
      <c r="N1735" s="1" t="s">
        <v>20</v>
      </c>
    </row>
    <row r="1736" spans="1:14" x14ac:dyDescent="0.3">
      <c r="A1736" s="1" t="str">
        <f>"2_1964/2129-11/2024/Х"</f>
        <v>2_1964/2129-11/2024/Х</v>
      </c>
      <c r="B1736" s="6">
        <v>45611</v>
      </c>
      <c r="C1736" s="1" t="str">
        <f>"00041"</f>
        <v>00041</v>
      </c>
      <c r="D173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36" s="1" t="s">
        <v>20</v>
      </c>
      <c r="F1736" s="1" t="str">
        <f t="shared" si="239"/>
        <v>Центр надання адміністративних послуг Рогатинської міської ради</v>
      </c>
      <c r="G1736" s="1" t="str">
        <f>"Фізична особа"</f>
        <v>Фізична особа</v>
      </c>
      <c r="H1736" s="1" t="s">
        <v>20</v>
      </c>
      <c r="I1736" s="1" t="s">
        <v>20</v>
      </c>
      <c r="J1736" s="1" t="str">
        <f>"Закрито"</f>
        <v>Закрито</v>
      </c>
      <c r="K1736" s="5">
        <v>45611</v>
      </c>
      <c r="L1736" s="1" t="str">
        <f>"300.0"</f>
        <v>300.0</v>
      </c>
      <c r="M1736" s="1" t="s">
        <v>22</v>
      </c>
      <c r="N1736" s="5">
        <v>45611</v>
      </c>
    </row>
    <row r="1737" spans="1:14" x14ac:dyDescent="0.3">
      <c r="A1737" s="1" t="str">
        <f>"2_1965/2129-11/2024/Л"</f>
        <v>2_1965/2129-11/2024/Л</v>
      </c>
      <c r="B1737" s="6">
        <v>45611</v>
      </c>
      <c r="C1737" s="1" t="str">
        <f>"00041"</f>
        <v>00041</v>
      </c>
      <c r="D173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37" s="1" t="s">
        <v>20</v>
      </c>
      <c r="F1737" s="1" t="str">
        <f t="shared" si="239"/>
        <v>Центр надання адміністративних послуг Рогатинської міської ради</v>
      </c>
      <c r="G1737" s="1" t="str">
        <f>"Фізична особа"</f>
        <v>Фізична особа</v>
      </c>
      <c r="H1737" s="1" t="s">
        <v>20</v>
      </c>
      <c r="I1737" s="1" t="s">
        <v>20</v>
      </c>
      <c r="J1737" s="1" t="str">
        <f>"Закрито"</f>
        <v>Закрито</v>
      </c>
      <c r="K1737" s="5">
        <v>45611</v>
      </c>
      <c r="L1737" s="1" t="str">
        <f>"300.0"</f>
        <v>300.0</v>
      </c>
      <c r="M1737" s="1" t="s">
        <v>22</v>
      </c>
      <c r="N1737" s="5">
        <v>45611</v>
      </c>
    </row>
    <row r="1738" spans="1:14" x14ac:dyDescent="0.3">
      <c r="A1738" s="1" t="str">
        <f>"2_1966/2129-11/2024/Ш"</f>
        <v>2_1966/2129-11/2024/Ш</v>
      </c>
      <c r="B1738" s="6">
        <v>45611</v>
      </c>
      <c r="C1738" s="1" t="str">
        <f>"00041"</f>
        <v>00041</v>
      </c>
      <c r="D173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38" s="1" t="s">
        <v>20</v>
      </c>
      <c r="F1738" s="1" t="str">
        <f t="shared" si="239"/>
        <v>Центр надання адміністративних послуг Рогатинської міської ради</v>
      </c>
      <c r="G1738" s="1" t="str">
        <f>"Фізична особа"</f>
        <v>Фізична особа</v>
      </c>
      <c r="H1738" s="1" t="s">
        <v>20</v>
      </c>
      <c r="I1738" s="1" t="s">
        <v>20</v>
      </c>
      <c r="J1738" s="1" t="str">
        <f>"Результат підготовлено СНАП"</f>
        <v>Результат підготовлено СНАП</v>
      </c>
      <c r="K1738" s="5">
        <v>45614</v>
      </c>
      <c r="L1738" s="1" t="str">
        <f>"300.0"</f>
        <v>300.0</v>
      </c>
      <c r="M1738" s="1" t="s">
        <v>22</v>
      </c>
      <c r="N1738" s="1" t="s">
        <v>20</v>
      </c>
    </row>
    <row r="1739" spans="1:14" x14ac:dyDescent="0.3">
      <c r="A1739" s="1" t="str">
        <f>"2_1967/2129-11/2024/М"</f>
        <v>2_1967/2129-11/2024/М</v>
      </c>
      <c r="B1739" s="6">
        <v>45611</v>
      </c>
      <c r="C1739" s="1" t="str">
        <f>"00041"</f>
        <v>00041</v>
      </c>
      <c r="D173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39" s="1" t="s">
        <v>20</v>
      </c>
      <c r="F1739" s="1" t="str">
        <f t="shared" si="239"/>
        <v>Центр надання адміністративних послуг Рогатинської міської ради</v>
      </c>
      <c r="G1739" s="1" t="str">
        <f>"Фізична особа"</f>
        <v>Фізична особа</v>
      </c>
      <c r="H1739" s="1" t="s">
        <v>20</v>
      </c>
      <c r="I1739" s="1" t="s">
        <v>20</v>
      </c>
      <c r="J1739" s="1" t="str">
        <f>"Закрито"</f>
        <v>Закрито</v>
      </c>
      <c r="K1739" s="5">
        <v>45611</v>
      </c>
      <c r="L1739" s="1" t="str">
        <f>"300.0"</f>
        <v>300.0</v>
      </c>
      <c r="M1739" s="1" t="s">
        <v>22</v>
      </c>
      <c r="N1739" s="5">
        <v>45611</v>
      </c>
    </row>
    <row r="1740" spans="1:14" x14ac:dyDescent="0.3">
      <c r="A1740" s="1" t="str">
        <f>"2_1968/2129-11/2024/С"</f>
        <v>2_1968/2129-11/2024/С</v>
      </c>
      <c r="B1740" s="6">
        <v>45611</v>
      </c>
      <c r="C1740" s="1" t="str">
        <f>"00042"</f>
        <v>00042</v>
      </c>
      <c r="D1740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740" s="1" t="s">
        <v>20</v>
      </c>
      <c r="F1740" s="1" t="str">
        <f t="shared" si="239"/>
        <v>Центр надання адміністративних послуг Рогатинської міської ради</v>
      </c>
      <c r="G1740" s="1" t="str">
        <f>"Юридична особа"</f>
        <v>Юридична особа</v>
      </c>
      <c r="H1740" s="1" t="str">
        <f>"Селянсько-Фермерське Господарство ""Ігора Валька"""</f>
        <v>Селянсько-Фермерське Господарство "Ігора Валька"</v>
      </c>
      <c r="I1740" s="1" t="s">
        <v>20</v>
      </c>
      <c r="J1740" s="1" t="str">
        <f>"Результат підготовлено СНАП"</f>
        <v>Результат підготовлено СНАП</v>
      </c>
      <c r="K1740" s="5">
        <v>45614</v>
      </c>
      <c r="L1740" s="1" t="str">
        <f>"150.0"</f>
        <v>150.0</v>
      </c>
      <c r="M1740" s="1" t="s">
        <v>22</v>
      </c>
      <c r="N1740" s="1" t="s">
        <v>20</v>
      </c>
    </row>
    <row r="1741" spans="1:14" x14ac:dyDescent="0.3">
      <c r="A1741" s="1" t="str">
        <f>"2_1969/2129-11/2024/Д"</f>
        <v>2_1969/2129-11/2024/Д</v>
      </c>
      <c r="B1741" s="6">
        <v>45611</v>
      </c>
      <c r="C1741" s="1" t="str">
        <f>"00041"</f>
        <v>00041</v>
      </c>
      <c r="D174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41" s="1" t="s">
        <v>20</v>
      </c>
      <c r="F1741" s="1" t="str">
        <f t="shared" si="239"/>
        <v>Центр надання адміністративних послуг Рогатинської міської ради</v>
      </c>
      <c r="G1741" s="1" t="str">
        <f>"Фізична особа"</f>
        <v>Фізична особа</v>
      </c>
      <c r="H1741" s="1" t="s">
        <v>20</v>
      </c>
      <c r="I1741" s="1" t="s">
        <v>20</v>
      </c>
      <c r="J1741" s="1" t="str">
        <f>"Закрито"</f>
        <v>Закрито</v>
      </c>
      <c r="K1741" s="5">
        <v>45611</v>
      </c>
      <c r="L1741" s="1" t="str">
        <f>"300.0"</f>
        <v>300.0</v>
      </c>
      <c r="M1741" s="1" t="s">
        <v>22</v>
      </c>
      <c r="N1741" s="5">
        <v>45611</v>
      </c>
    </row>
    <row r="1742" spans="1:14" x14ac:dyDescent="0.3">
      <c r="A1742" s="1" t="str">
        <f>"2_1970/2129-11/2024/О"</f>
        <v>2_1970/2129-11/2024/О</v>
      </c>
      <c r="B1742" s="6">
        <v>45611</v>
      </c>
      <c r="C1742" s="1" t="str">
        <f>"00047"</f>
        <v>00047</v>
      </c>
      <c r="D1742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742" s="1" t="s">
        <v>20</v>
      </c>
      <c r="F1742" s="1" t="str">
        <f t="shared" si="239"/>
        <v>Центр надання адміністративних послуг Рогатинської міської ради</v>
      </c>
      <c r="G1742" s="1" t="str">
        <f>"Фізична особа"</f>
        <v>Фізична особа</v>
      </c>
      <c r="H1742" s="1" t="s">
        <v>20</v>
      </c>
      <c r="I1742" s="1" t="s">
        <v>20</v>
      </c>
      <c r="J1742" s="1" t="str">
        <f>"Закрито"</f>
        <v>Закрито</v>
      </c>
      <c r="K1742" s="5">
        <v>45611</v>
      </c>
      <c r="L1742" s="1" t="s">
        <v>20</v>
      </c>
      <c r="M1742" s="1" t="s">
        <v>22</v>
      </c>
      <c r="N1742" s="5">
        <v>45611</v>
      </c>
    </row>
    <row r="1743" spans="1:14" x14ac:dyDescent="0.3">
      <c r="A1743" s="1" t="str">
        <f>"2_1971/2129-11/2024/П"</f>
        <v>2_1971/2129-11/2024/П</v>
      </c>
      <c r="B1743" s="6">
        <v>45611</v>
      </c>
      <c r="C1743" s="1" t="str">
        <f>"00047"</f>
        <v>00047</v>
      </c>
      <c r="D1743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743" s="1" t="s">
        <v>20</v>
      </c>
      <c r="F1743" s="1" t="str">
        <f t="shared" si="239"/>
        <v>Центр надання адміністративних послуг Рогатинської міської ради</v>
      </c>
      <c r="G1743" s="1" t="str">
        <f>"Фізична особа"</f>
        <v>Фізична особа</v>
      </c>
      <c r="H1743" s="1" t="s">
        <v>20</v>
      </c>
      <c r="I1743" s="1" t="s">
        <v>20</v>
      </c>
      <c r="J1743" s="1" t="str">
        <f>"Закрито"</f>
        <v>Закрито</v>
      </c>
      <c r="K1743" s="5">
        <v>45611</v>
      </c>
      <c r="L1743" s="1" t="str">
        <f>"80.0"</f>
        <v>80.0</v>
      </c>
      <c r="M1743" s="1" t="s">
        <v>22</v>
      </c>
      <c r="N1743" s="5">
        <v>45611</v>
      </c>
    </row>
    <row r="1744" spans="1:14" x14ac:dyDescent="0.3">
      <c r="A1744" s="1" t="str">
        <f>"2_1972/2129-11/2024/С"</f>
        <v>2_1972/2129-11/2024/С</v>
      </c>
      <c r="B1744" s="6">
        <v>45611</v>
      </c>
      <c r="C1744" s="1" t="str">
        <f>"00042"</f>
        <v>00042</v>
      </c>
      <c r="D1744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744" s="1" t="s">
        <v>20</v>
      </c>
      <c r="F1744" s="1" t="str">
        <f t="shared" si="239"/>
        <v>Центр надання адміністративних послуг Рогатинської міської ради</v>
      </c>
      <c r="G1744" s="1" t="str">
        <f>"Юридична особа"</f>
        <v>Юридична особа</v>
      </c>
      <c r="H1744" s="1" t="str">
        <f>"Селянсько-Фермерське Господарство ""Ігора Валька"""</f>
        <v>Селянсько-Фермерське Господарство "Ігора Валька"</v>
      </c>
      <c r="I1744" s="1" t="s">
        <v>20</v>
      </c>
      <c r="J1744" s="1" t="str">
        <f>"Результат підготовлено СНАП"</f>
        <v>Результат підготовлено СНАП</v>
      </c>
      <c r="K1744" s="5">
        <v>45614</v>
      </c>
      <c r="L1744" s="1" t="s">
        <v>20</v>
      </c>
      <c r="M1744" s="1" t="s">
        <v>22</v>
      </c>
      <c r="N1744" s="1" t="s">
        <v>20</v>
      </c>
    </row>
    <row r="1745" spans="1:14" x14ac:dyDescent="0.3">
      <c r="A1745" s="1" t="str">
        <f>"3_855-11/2024/П"</f>
        <v>3_855-11/2024/П</v>
      </c>
      <c r="B1745" s="6">
        <v>45611</v>
      </c>
      <c r="C1745" s="1" t="str">
        <f>"33"</f>
        <v>33</v>
      </c>
      <c r="D1745" s="2" t="str">
        <f>"33 Довідки різного характеру"</f>
        <v>33 Довідки різного характеру</v>
      </c>
      <c r="E1745" s="1" t="s">
        <v>20</v>
      </c>
      <c r="F1745" s="1" t="str">
        <f t="shared" si="239"/>
        <v>Центр надання адміністративних послуг Рогатинської міської ради</v>
      </c>
      <c r="G1745" s="1" t="str">
        <f>"Фізична особа"</f>
        <v>Фізична особа</v>
      </c>
      <c r="H1745" s="1" t="s">
        <v>20</v>
      </c>
      <c r="I1745" s="1" t="s">
        <v>20</v>
      </c>
      <c r="J1745" s="1" t="str">
        <f>"Закрито"</f>
        <v>Закрито</v>
      </c>
      <c r="K1745" s="5">
        <v>45611</v>
      </c>
      <c r="L1745" s="1" t="s">
        <v>20</v>
      </c>
      <c r="M1745" s="1" t="s">
        <v>22</v>
      </c>
      <c r="N1745" s="5">
        <v>45611</v>
      </c>
    </row>
    <row r="1746" spans="1:14" x14ac:dyDescent="0.3">
      <c r="A1746" s="1" t="str">
        <f>"2_1973/2129-11/2024/Г"</f>
        <v>2_1973/2129-11/2024/Г</v>
      </c>
      <c r="B1746" s="6">
        <v>45611</v>
      </c>
      <c r="C1746" s="1" t="str">
        <f>"00041"</f>
        <v>00041</v>
      </c>
      <c r="D174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46" s="1" t="s">
        <v>20</v>
      </c>
      <c r="F1746" s="1" t="str">
        <f t="shared" si="239"/>
        <v>Центр надання адміністративних послуг Рогатинської міської ради</v>
      </c>
      <c r="G1746" s="1" t="str">
        <f>"Фізична особа"</f>
        <v>Фізична особа</v>
      </c>
      <c r="H1746" s="1" t="s">
        <v>20</v>
      </c>
      <c r="I1746" s="1" t="s">
        <v>20</v>
      </c>
      <c r="J1746" s="1" t="str">
        <f>"Закрито"</f>
        <v>Закрито</v>
      </c>
      <c r="K1746" s="5">
        <v>45611</v>
      </c>
      <c r="L1746" s="1" t="s">
        <v>20</v>
      </c>
      <c r="M1746" s="1" t="s">
        <v>22</v>
      </c>
      <c r="N1746" s="5">
        <v>45611</v>
      </c>
    </row>
    <row r="1747" spans="1:14" x14ac:dyDescent="0.3">
      <c r="A1747" s="1" t="str">
        <f>"1_5860/2129-11/2024/О"</f>
        <v>1_5860/2129-11/2024/О</v>
      </c>
      <c r="B1747" s="6">
        <v>45611</v>
      </c>
      <c r="C1747" s="1" t="str">
        <f>"00038"</f>
        <v>00038</v>
      </c>
      <c r="D174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47" s="1" t="s">
        <v>20</v>
      </c>
      <c r="F1747" s="1" t="str">
        <f t="shared" si="239"/>
        <v>Центр надання адміністративних послуг Рогатинської міської ради</v>
      </c>
      <c r="G1747" s="1" t="str">
        <f>"Фізична особа"</f>
        <v>Фізична особа</v>
      </c>
      <c r="H1747" s="1" t="s">
        <v>20</v>
      </c>
      <c r="I1747" s="1" t="s">
        <v>20</v>
      </c>
      <c r="J1747" s="1" t="str">
        <f>"Закрито"</f>
        <v>Закрито</v>
      </c>
      <c r="K1747" s="5">
        <v>45611</v>
      </c>
      <c r="L1747" s="1" t="s">
        <v>20</v>
      </c>
      <c r="M1747" s="1" t="s">
        <v>22</v>
      </c>
      <c r="N1747" s="5">
        <v>45611</v>
      </c>
    </row>
    <row r="1748" spans="1:14" x14ac:dyDescent="0.3">
      <c r="A1748" s="1" t="str">
        <f>"2_1974/2129-11/2024/С"</f>
        <v>2_1974/2129-11/2024/С</v>
      </c>
      <c r="B1748" s="6">
        <v>45611</v>
      </c>
      <c r="C1748" s="1" t="str">
        <f>"00041"</f>
        <v>00041</v>
      </c>
      <c r="D174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48" s="1" t="s">
        <v>20</v>
      </c>
      <c r="F1748" s="1" t="str">
        <f t="shared" si="239"/>
        <v>Центр надання адміністративних послуг Рогатинської міської ради</v>
      </c>
      <c r="G1748" s="1" t="str">
        <f>"Юридична особа"</f>
        <v>Юридична особа</v>
      </c>
      <c r="H1748" s="1" t="str">
        <f>"Селянсько-Фермерське Господарство ""Ігора Валька"""</f>
        <v>Селянсько-Фермерське Господарство "Ігора Валька"</v>
      </c>
      <c r="I1748" s="1" t="s">
        <v>20</v>
      </c>
      <c r="J1748" s="1" t="str">
        <f>"Результат підготовлено СНАП"</f>
        <v>Результат підготовлено СНАП</v>
      </c>
      <c r="K1748" s="5">
        <v>45614</v>
      </c>
      <c r="L1748" s="1" t="str">
        <f>"150.0"</f>
        <v>150.0</v>
      </c>
      <c r="M1748" s="1" t="s">
        <v>22</v>
      </c>
      <c r="N1748" s="1" t="s">
        <v>20</v>
      </c>
    </row>
    <row r="1749" spans="1:14" x14ac:dyDescent="0.3">
      <c r="A1749" s="1" t="str">
        <f>"1_5861/2129-11/2024/Г"</f>
        <v>1_5861/2129-11/2024/Г</v>
      </c>
      <c r="B1749" s="6">
        <v>45611</v>
      </c>
      <c r="C1749" s="1" t="str">
        <f>"00034"</f>
        <v>00034</v>
      </c>
      <c r="D1749" s="2" t="str">
        <f>"Реєстрація місця проживання"</f>
        <v>Реєстрація місця проживання</v>
      </c>
      <c r="E1749" s="1" t="s">
        <v>20</v>
      </c>
      <c r="F1749" s="1" t="str">
        <f t="shared" si="239"/>
        <v>Центр надання адміністративних послуг Рогатинської міської ради</v>
      </c>
      <c r="G1749" s="1" t="str">
        <f>"Фізична особа"</f>
        <v>Фізична особа</v>
      </c>
      <c r="H1749" s="1" t="s">
        <v>20</v>
      </c>
      <c r="I1749" s="1" t="s">
        <v>20</v>
      </c>
      <c r="J1749" s="1" t="str">
        <f>"Закрито"</f>
        <v>Закрито</v>
      </c>
      <c r="K1749" s="5">
        <v>45611</v>
      </c>
      <c r="L1749" s="1" t="str">
        <f>"45.0"</f>
        <v>45.0</v>
      </c>
      <c r="M1749" s="1" t="s">
        <v>22</v>
      </c>
      <c r="N1749" s="5">
        <v>45611</v>
      </c>
    </row>
    <row r="1750" spans="1:14" x14ac:dyDescent="0.3">
      <c r="A1750" s="1" t="str">
        <f>"4_1277/03193413-11/2024/Т"</f>
        <v>4_1277/03193413-11/2024/Т</v>
      </c>
      <c r="B1750" s="6">
        <v>45611</v>
      </c>
      <c r="C1750" s="1" t="str">
        <f>"01974"</f>
        <v>01974</v>
      </c>
      <c r="D1750" s="2" t="str">
        <f>"Призначення пільги на оплату житла, комунальних послуг"</f>
        <v>Призначення пільги на оплату житла, комунальних послуг</v>
      </c>
      <c r="E1750" s="1" t="str">
        <f>"03193413"</f>
        <v>03193413</v>
      </c>
      <c r="F175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50" s="1" t="str">
        <f>"Фізична особа"</f>
        <v>Фізична особа</v>
      </c>
      <c r="H1750" s="1" t="s">
        <v>20</v>
      </c>
      <c r="I1750" s="1" t="s">
        <v>20</v>
      </c>
      <c r="J1750" s="1" t="str">
        <f>"На обробці в СНАП"</f>
        <v>На обробці в СНАП</v>
      </c>
      <c r="K1750" s="1" t="s">
        <v>20</v>
      </c>
      <c r="L1750" s="1" t="s">
        <v>20</v>
      </c>
      <c r="M1750" s="1" t="s">
        <v>22</v>
      </c>
      <c r="N1750" s="1" t="s">
        <v>20</v>
      </c>
    </row>
    <row r="1751" spans="1:14" x14ac:dyDescent="0.3">
      <c r="A1751" s="1" t="str">
        <f>"2_1975/2129-11/2024/С"</f>
        <v>2_1975/2129-11/2024/С</v>
      </c>
      <c r="B1751" s="6">
        <v>45611</v>
      </c>
      <c r="C1751" s="1" t="str">
        <f>"00042"</f>
        <v>00042</v>
      </c>
      <c r="D1751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751" s="1" t="s">
        <v>20</v>
      </c>
      <c r="F17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51" s="1" t="str">
        <f>"Юридична особа"</f>
        <v>Юридична особа</v>
      </c>
      <c r="H1751" s="1" t="str">
        <f>"Селянсько-Фермерське господарство ""Ігора Валька"""</f>
        <v>Селянсько-Фермерське господарство "Ігора Валька"</v>
      </c>
      <c r="I1751" s="1" t="s">
        <v>20</v>
      </c>
      <c r="J1751" s="1" t="str">
        <f>"Результат підготовлено СНАП"</f>
        <v>Результат підготовлено СНАП</v>
      </c>
      <c r="K1751" s="5">
        <v>45614</v>
      </c>
      <c r="L1751" s="1" t="s">
        <v>20</v>
      </c>
      <c r="M1751" s="1" t="s">
        <v>22</v>
      </c>
      <c r="N1751" s="1" t="s">
        <v>20</v>
      </c>
    </row>
    <row r="1752" spans="1:14" x14ac:dyDescent="0.3">
      <c r="A1752" s="1" t="str">
        <f>"2_1976/2129-11/2024/С"</f>
        <v>2_1976/2129-11/2024/С</v>
      </c>
      <c r="B1752" s="6">
        <v>45611</v>
      </c>
      <c r="C1752" s="1" t="str">
        <f>"00042"</f>
        <v>00042</v>
      </c>
      <c r="D1752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752" s="1" t="s">
        <v>20</v>
      </c>
      <c r="F17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52" s="1" t="str">
        <f>"Юридична особа"</f>
        <v>Юридична особа</v>
      </c>
      <c r="H1752" s="1" t="str">
        <f>"Селянсько-Фермерське господарство ""Ігора Валька"""</f>
        <v>Селянсько-Фермерське господарство "Ігора Валька"</v>
      </c>
      <c r="I1752" s="1" t="s">
        <v>20</v>
      </c>
      <c r="J1752" s="1" t="str">
        <f>"Результат підготовлено СНАП"</f>
        <v>Результат підготовлено СНАП</v>
      </c>
      <c r="K1752" s="5">
        <v>45614</v>
      </c>
      <c r="L1752" s="1" t="str">
        <f>"150.0"</f>
        <v>150.0</v>
      </c>
      <c r="M1752" s="1" t="s">
        <v>22</v>
      </c>
      <c r="N1752" s="1" t="s">
        <v>20</v>
      </c>
    </row>
    <row r="1753" spans="1:14" x14ac:dyDescent="0.3">
      <c r="A1753" s="1" t="str">
        <f>"2_1977/2129-11/2024/С"</f>
        <v>2_1977/2129-11/2024/С</v>
      </c>
      <c r="B1753" s="6">
        <v>45611</v>
      </c>
      <c r="C1753" s="1" t="str">
        <f>"00042"</f>
        <v>00042</v>
      </c>
      <c r="D1753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753" s="1" t="s">
        <v>20</v>
      </c>
      <c r="F17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53" s="1" t="str">
        <f>"Юридична особа"</f>
        <v>Юридична особа</v>
      </c>
      <c r="H1753" s="1" t="str">
        <f>"Селянсько-Фермерське господарство ""Ігора Валька"""</f>
        <v>Селянсько-Фермерське господарство "Ігора Валька"</v>
      </c>
      <c r="I1753" s="1" t="s">
        <v>20</v>
      </c>
      <c r="J1753" s="1" t="str">
        <f>"Результат підготовлено СНАП"</f>
        <v>Результат підготовлено СНАП</v>
      </c>
      <c r="K1753" s="5">
        <v>45614</v>
      </c>
      <c r="L1753" s="1" t="str">
        <f>"150.0"</f>
        <v>150.0</v>
      </c>
      <c r="M1753" s="1" t="s">
        <v>22</v>
      </c>
      <c r="N1753" s="1" t="s">
        <v>20</v>
      </c>
    </row>
    <row r="1754" spans="1:14" x14ac:dyDescent="0.3">
      <c r="A1754" s="1" t="str">
        <f>"9_1667/04054323-11/2024/Г"</f>
        <v>9_1667/04054323-11/2024/Г</v>
      </c>
      <c r="B1754" s="6">
        <v>45611</v>
      </c>
      <c r="C1754" s="1" t="str">
        <f>"11"</f>
        <v>11</v>
      </c>
      <c r="D1754" s="2" t="str">
        <f>"11 Видача рішення про поновлення договору оренди землі"</f>
        <v>11 Видача рішення про поновлення договору оренди землі</v>
      </c>
      <c r="E1754" s="1" t="str">
        <f>"04054323"</f>
        <v>04054323</v>
      </c>
      <c r="F1754" s="1" t="str">
        <f>"Рогатинська міська рада"</f>
        <v>Рогатинська міська рада</v>
      </c>
      <c r="G1754" s="1" t="str">
        <f>"Фізична особа"</f>
        <v>Фізична особа</v>
      </c>
      <c r="H1754" s="1" t="s">
        <v>20</v>
      </c>
      <c r="I1754" s="1" t="s">
        <v>20</v>
      </c>
      <c r="J1754" s="1" t="str">
        <f>"На обробці в СНАП"</f>
        <v>На обробці в СНАП</v>
      </c>
      <c r="K1754" s="1" t="s">
        <v>20</v>
      </c>
      <c r="L1754" s="1" t="s">
        <v>20</v>
      </c>
      <c r="M1754" s="1" t="s">
        <v>22</v>
      </c>
      <c r="N1754" s="1" t="s">
        <v>20</v>
      </c>
    </row>
    <row r="1755" spans="1:14" x14ac:dyDescent="0.3">
      <c r="A1755" s="1" t="str">
        <f>"2_1978/2129-11/2024/Т"</f>
        <v>2_1978/2129-11/2024/Т</v>
      </c>
      <c r="B1755" s="6">
        <v>45611</v>
      </c>
      <c r="C1755" s="1" t="str">
        <f>"00042"</f>
        <v>00042</v>
      </c>
      <c r="D1755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755" s="1" t="s">
        <v>20</v>
      </c>
      <c r="F1755" s="1" t="str">
        <f t="shared" ref="F1755:F1764" si="24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55" s="1" t="str">
        <f>"Юридична особа"</f>
        <v>Юридична особа</v>
      </c>
      <c r="H1755" s="1" t="str">
        <f>"ТОВАРИСТО З ОБМЕЖЕНОЮ ВІДПОВІДАЛЬНІСТЮ ЗАХІД АГРО МХП"</f>
        <v>ТОВАРИСТО З ОБМЕЖЕНОЮ ВІДПОВІДАЛЬНІСТЮ ЗАХІД АГРО МХП</v>
      </c>
      <c r="I1755" s="1" t="str">
        <f>"37042858"</f>
        <v>37042858</v>
      </c>
      <c r="J1755" s="1" t="str">
        <f>"Результат підготовлено СНАП"</f>
        <v>Результат підготовлено СНАП</v>
      </c>
      <c r="K1755" s="5">
        <v>45623</v>
      </c>
      <c r="L1755" s="1" t="str">
        <f>"150.0"</f>
        <v>150.0</v>
      </c>
      <c r="M1755" s="1" t="s">
        <v>22</v>
      </c>
      <c r="N1755" s="1" t="s">
        <v>20</v>
      </c>
    </row>
    <row r="1756" spans="1:14" x14ac:dyDescent="0.3">
      <c r="A1756" s="1" t="str">
        <f>"1_5862/2129-11/2024/О"</f>
        <v>1_5862/2129-11/2024/О</v>
      </c>
      <c r="B1756" s="6">
        <v>45611</v>
      </c>
      <c r="C1756" s="1" t="str">
        <f>"00038"</f>
        <v>00038</v>
      </c>
      <c r="D175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56" s="1" t="s">
        <v>20</v>
      </c>
      <c r="F1756" s="1" t="str">
        <f t="shared" si="241"/>
        <v>Центр надання адміністративних послуг Рогатинської міської ради</v>
      </c>
      <c r="G1756" s="1" t="str">
        <f>"Фізична особа"</f>
        <v>Фізична особа</v>
      </c>
      <c r="H1756" s="1" t="s">
        <v>20</v>
      </c>
      <c r="I1756" s="1" t="s">
        <v>20</v>
      </c>
      <c r="J1756" s="1" t="str">
        <f>"Закрито"</f>
        <v>Закрито</v>
      </c>
      <c r="K1756" s="5">
        <v>45611</v>
      </c>
      <c r="L1756" s="1" t="s">
        <v>20</v>
      </c>
      <c r="M1756" s="1" t="s">
        <v>22</v>
      </c>
      <c r="N1756" s="5">
        <v>45611</v>
      </c>
    </row>
    <row r="1757" spans="1:14" x14ac:dyDescent="0.3">
      <c r="A1757" s="1" t="str">
        <f>"2_1979/2129-11/2024/Т"</f>
        <v>2_1979/2129-11/2024/Т</v>
      </c>
      <c r="B1757" s="6">
        <v>45611</v>
      </c>
      <c r="C1757" s="1" t="str">
        <f>"00042"</f>
        <v>00042</v>
      </c>
      <c r="D1757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757" s="1" t="s">
        <v>20</v>
      </c>
      <c r="F1757" s="1" t="str">
        <f t="shared" si="241"/>
        <v>Центр надання адміністративних послуг Рогатинської міської ради</v>
      </c>
      <c r="G1757" s="1" t="str">
        <f>"Юридична особа"</f>
        <v>Юридична особа</v>
      </c>
      <c r="H1757" s="1" t="str">
        <f>"ТОВАРИСТВО З ОБМЕЖЕНОЮ ВІДПОВІДАЛЬНІСТЮ ЗАХІД АГРО МХП"</f>
        <v>ТОВАРИСТВО З ОБМЕЖЕНОЮ ВІДПОВІДАЛЬНІСТЮ ЗАХІД АГРО МХП</v>
      </c>
      <c r="I1757" s="1" t="str">
        <f>"37042858"</f>
        <v>37042858</v>
      </c>
      <c r="J1757" s="1" t="str">
        <f>"Результат підготовлено СНАП"</f>
        <v>Результат підготовлено СНАП</v>
      </c>
      <c r="K1757" s="5">
        <v>45623</v>
      </c>
      <c r="L1757" s="1" t="str">
        <f>"150.0"</f>
        <v>150.0</v>
      </c>
      <c r="M1757" s="1" t="s">
        <v>22</v>
      </c>
      <c r="N1757" s="1" t="s">
        <v>20</v>
      </c>
    </row>
    <row r="1758" spans="1:14" x14ac:dyDescent="0.3">
      <c r="A1758" s="1" t="str">
        <f>"2_1980/2129-11/2024/Т"</f>
        <v>2_1980/2129-11/2024/Т</v>
      </c>
      <c r="B1758" s="6">
        <v>45611</v>
      </c>
      <c r="C1758" s="1" t="str">
        <f>"00042"</f>
        <v>00042</v>
      </c>
      <c r="D1758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758" s="1" t="s">
        <v>20</v>
      </c>
      <c r="F1758" s="1" t="str">
        <f t="shared" si="241"/>
        <v>Центр надання адміністративних послуг Рогатинської міської ради</v>
      </c>
      <c r="G1758" s="1" t="str">
        <f>"Юридична особа"</f>
        <v>Юридична особа</v>
      </c>
      <c r="H1758" s="1" t="str">
        <f>"ТОВАРИСТВО З ОБМЕЖЕНОЮ ВІДПОВІДАЛЬНІСТЮ ЗАХІД -АГРО МХП"</f>
        <v>ТОВАРИСТВО З ОБМЕЖЕНОЮ ВІДПОВІДАЛЬНІСТЮ ЗАХІД -АГРО МХП</v>
      </c>
      <c r="I1758" s="1" t="str">
        <f>"37042858"</f>
        <v>37042858</v>
      </c>
      <c r="J1758" s="1" t="str">
        <f>"Результат підготовлено СНАП"</f>
        <v>Результат підготовлено СНАП</v>
      </c>
      <c r="K1758" s="5">
        <v>45623</v>
      </c>
      <c r="L1758" s="1" t="str">
        <f>"150.0"</f>
        <v>150.0</v>
      </c>
      <c r="M1758" s="1" t="s">
        <v>22</v>
      </c>
      <c r="N1758" s="1" t="s">
        <v>20</v>
      </c>
    </row>
    <row r="1759" spans="1:14" x14ac:dyDescent="0.3">
      <c r="A1759" s="1" t="str">
        <f>"1_5863/2129-11/2024/Б"</f>
        <v>1_5863/2129-11/2024/Б</v>
      </c>
      <c r="B1759" s="6">
        <v>45611</v>
      </c>
      <c r="C1759" s="1" t="str">
        <f>"00038"</f>
        <v>00038</v>
      </c>
      <c r="D175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59" s="1" t="s">
        <v>20</v>
      </c>
      <c r="F1759" s="1" t="str">
        <f t="shared" si="241"/>
        <v>Центр надання адміністративних послуг Рогатинської міської ради</v>
      </c>
      <c r="G1759" s="1" t="str">
        <f>"Фізична особа"</f>
        <v>Фізична особа</v>
      </c>
      <c r="H1759" s="1" t="s">
        <v>20</v>
      </c>
      <c r="I1759" s="1" t="s">
        <v>20</v>
      </c>
      <c r="J1759" s="1" t="str">
        <f>"Закрито"</f>
        <v>Закрито</v>
      </c>
      <c r="K1759" s="5">
        <v>45611</v>
      </c>
      <c r="L1759" s="1" t="s">
        <v>20</v>
      </c>
      <c r="M1759" s="1" t="s">
        <v>22</v>
      </c>
      <c r="N1759" s="5">
        <v>45611</v>
      </c>
    </row>
    <row r="1760" spans="1:14" x14ac:dyDescent="0.3">
      <c r="A1760" s="1" t="str">
        <f>"2_1981/2129-11/2024/В"</f>
        <v>2_1981/2129-11/2024/В</v>
      </c>
      <c r="B1760" s="6">
        <v>45611</v>
      </c>
      <c r="C1760" s="1" t="str">
        <f>"00041"</f>
        <v>00041</v>
      </c>
      <c r="D176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60" s="1" t="s">
        <v>20</v>
      </c>
      <c r="F1760" s="1" t="str">
        <f t="shared" si="241"/>
        <v>Центр надання адміністративних послуг Рогатинської міської ради</v>
      </c>
      <c r="G1760" s="1" t="str">
        <f>"Фізична особа"</f>
        <v>Фізична особа</v>
      </c>
      <c r="H1760" s="1" t="s">
        <v>20</v>
      </c>
      <c r="I1760" s="1" t="s">
        <v>20</v>
      </c>
      <c r="J1760" s="1" t="str">
        <f>"Результат підготовлено СНАП"</f>
        <v>Результат підготовлено СНАП</v>
      </c>
      <c r="K1760" s="5">
        <v>45623</v>
      </c>
      <c r="L1760" s="1" t="str">
        <f>"300.0"</f>
        <v>300.0</v>
      </c>
      <c r="M1760" s="1" t="s">
        <v>22</v>
      </c>
      <c r="N1760" s="1" t="s">
        <v>20</v>
      </c>
    </row>
    <row r="1761" spans="1:14" x14ac:dyDescent="0.3">
      <c r="A1761" s="1" t="str">
        <f>"2_1982/2129-11/2024/В"</f>
        <v>2_1982/2129-11/2024/В</v>
      </c>
      <c r="B1761" s="6">
        <v>45611</v>
      </c>
      <c r="C1761" s="1" t="str">
        <f>"00041"</f>
        <v>00041</v>
      </c>
      <c r="D176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61" s="1" t="s">
        <v>20</v>
      </c>
      <c r="F1761" s="1" t="str">
        <f t="shared" si="241"/>
        <v>Центр надання адміністративних послуг Рогатинської міської ради</v>
      </c>
      <c r="G1761" s="1" t="str">
        <f>"Фізична особа"</f>
        <v>Фізична особа</v>
      </c>
      <c r="H1761" s="1" t="s">
        <v>20</v>
      </c>
      <c r="I1761" s="1" t="s">
        <v>20</v>
      </c>
      <c r="J1761" s="1" t="str">
        <f>"Результат підготовлено СНАП"</f>
        <v>Результат підготовлено СНАП</v>
      </c>
      <c r="K1761" s="5">
        <v>45623</v>
      </c>
      <c r="L1761" s="1" t="str">
        <f>"300.0"</f>
        <v>300.0</v>
      </c>
      <c r="M1761" s="1" t="s">
        <v>22</v>
      </c>
      <c r="N1761" s="1" t="s">
        <v>20</v>
      </c>
    </row>
    <row r="1762" spans="1:14" x14ac:dyDescent="0.3">
      <c r="A1762" s="1" t="str">
        <f>"2_1983/2129-11/2024/Т"</f>
        <v>2_1983/2129-11/2024/Т</v>
      </c>
      <c r="B1762" s="6">
        <v>45611</v>
      </c>
      <c r="C1762" s="1" t="str">
        <f>"00042"</f>
        <v>00042</v>
      </c>
      <c r="D1762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762" s="1" t="s">
        <v>20</v>
      </c>
      <c r="F1762" s="1" t="str">
        <f t="shared" si="241"/>
        <v>Центр надання адміністративних послуг Рогатинської міської ради</v>
      </c>
      <c r="G1762" s="1" t="str">
        <f>"Юридична особа"</f>
        <v>Юридична особа</v>
      </c>
      <c r="H1762" s="1" t="str">
        <f>"ТОВАРИСТВО З ОБМЕЖЕНОЮ ВІДПОВІДАЛЬНІСТЮ ЗАХІД АГРО МХП"</f>
        <v>ТОВАРИСТВО З ОБМЕЖЕНОЮ ВІДПОВІДАЛЬНІСТЮ ЗАХІД АГРО МХП</v>
      </c>
      <c r="I1762" s="1" t="str">
        <f>"37042858"</f>
        <v>37042858</v>
      </c>
      <c r="J1762" s="1" t="str">
        <f>"Результат підготовлено СНАП"</f>
        <v>Результат підготовлено СНАП</v>
      </c>
      <c r="K1762" s="5">
        <v>45623</v>
      </c>
      <c r="L1762" s="1" t="str">
        <f>"150.0"</f>
        <v>150.0</v>
      </c>
      <c r="M1762" s="1" t="s">
        <v>22</v>
      </c>
      <c r="N1762" s="1" t="s">
        <v>20</v>
      </c>
    </row>
    <row r="1763" spans="1:14" x14ac:dyDescent="0.3">
      <c r="A1763" s="1" t="str">
        <f>"8_543-11/2024/П"</f>
        <v>8_543-11/2024/П</v>
      </c>
      <c r="B1763" s="6">
        <v>45611</v>
      </c>
      <c r="C1763" s="1" t="str">
        <f>"00038"</f>
        <v>00038</v>
      </c>
      <c r="D176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63" s="1" t="s">
        <v>20</v>
      </c>
      <c r="F1763" s="1" t="str">
        <f t="shared" si="241"/>
        <v>Центр надання адміністративних послуг Рогатинської міської ради</v>
      </c>
      <c r="G1763" s="1" t="str">
        <f>"Фізична особа"</f>
        <v>Фізична особа</v>
      </c>
      <c r="H1763" s="1" t="s">
        <v>20</v>
      </c>
      <c r="I1763" s="1" t="s">
        <v>20</v>
      </c>
      <c r="J1763" s="1" t="str">
        <f>"Закрито"</f>
        <v>Закрито</v>
      </c>
      <c r="K1763" s="5">
        <v>45611</v>
      </c>
      <c r="L1763" s="1" t="s">
        <v>20</v>
      </c>
      <c r="M1763" s="1" t="s">
        <v>22</v>
      </c>
      <c r="N1763" s="5">
        <v>45611</v>
      </c>
    </row>
    <row r="1764" spans="1:14" x14ac:dyDescent="0.3">
      <c r="A1764" s="1" t="str">
        <f>"2_1984/2129-11/2024/Т"</f>
        <v>2_1984/2129-11/2024/Т</v>
      </c>
      <c r="B1764" s="6">
        <v>45611</v>
      </c>
      <c r="C1764" s="1" t="str">
        <f>"00042"</f>
        <v>00042</v>
      </c>
      <c r="D1764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764" s="1" t="s">
        <v>20</v>
      </c>
      <c r="F1764" s="1" t="str">
        <f t="shared" si="241"/>
        <v>Центр надання адміністративних послуг Рогатинської міської ради</v>
      </c>
      <c r="G1764" s="1" t="str">
        <f>"Юридична особа"</f>
        <v>Юридична особа</v>
      </c>
      <c r="H1764" s="1" t="str">
        <f>"ТОВАРИСТВО З ОБМЕЖЕНОЮ ВІДПОВІДАЛЬНІСТЮ ""ЗАХІД -АГРО МХП"""</f>
        <v>ТОВАРИСТВО З ОБМЕЖЕНОЮ ВІДПОВІДАЛЬНІСТЮ "ЗАХІД -АГРО МХП"</v>
      </c>
      <c r="I1764" s="1" t="str">
        <f>"37042858"</f>
        <v>37042858</v>
      </c>
      <c r="J1764" s="1" t="str">
        <f>"Результат підготовлено СНАП"</f>
        <v>Результат підготовлено СНАП</v>
      </c>
      <c r="K1764" s="5">
        <v>45623</v>
      </c>
      <c r="L1764" s="1" t="str">
        <f>"150.0"</f>
        <v>150.0</v>
      </c>
      <c r="M1764" s="1" t="s">
        <v>22</v>
      </c>
      <c r="N1764" s="1" t="s">
        <v>20</v>
      </c>
    </row>
    <row r="1765" spans="1:14" x14ac:dyDescent="0.3">
      <c r="A1765" s="1" t="str">
        <f>"26_372-11/2024/М"</f>
        <v>26_372-11/2024/М</v>
      </c>
      <c r="B1765" s="6">
        <v>45611</v>
      </c>
      <c r="C1765" s="1" t="str">
        <f>"00133"</f>
        <v>00133</v>
      </c>
      <c r="D1765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765" s="1" t="str">
        <f>"03193413"</f>
        <v>03193413</v>
      </c>
      <c r="F176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65" s="1" t="str">
        <f>"Фізична особа"</f>
        <v>Фізична особа</v>
      </c>
      <c r="H1765" s="1" t="s">
        <v>20</v>
      </c>
      <c r="I1765" s="1" t="s">
        <v>20</v>
      </c>
      <c r="J1765" s="1" t="str">
        <f>"На обробці в СНАП"</f>
        <v>На обробці в СНАП</v>
      </c>
      <c r="K1765" s="1" t="s">
        <v>20</v>
      </c>
      <c r="L1765" s="1" t="s">
        <v>20</v>
      </c>
      <c r="M1765" s="1" t="s">
        <v>22</v>
      </c>
      <c r="N1765" s="1" t="s">
        <v>20</v>
      </c>
    </row>
    <row r="1766" spans="1:14" x14ac:dyDescent="0.3">
      <c r="A1766" s="1" t="str">
        <f>"2_1985/2129-11/2024/С"</f>
        <v>2_1985/2129-11/2024/С</v>
      </c>
      <c r="B1766" s="6">
        <v>45611</v>
      </c>
      <c r="C1766" s="1" t="str">
        <f>"00047"</f>
        <v>00047</v>
      </c>
      <c r="D1766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766" s="1" t="s">
        <v>20</v>
      </c>
      <c r="F1766" s="1" t="str">
        <f t="shared" ref="F1766:F1773" si="242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66" s="1" t="str">
        <f>"Фізична особа"</f>
        <v>Фізична особа</v>
      </c>
      <c r="H1766" s="1" t="s">
        <v>20</v>
      </c>
      <c r="I1766" s="1" t="s">
        <v>20</v>
      </c>
      <c r="J1766" s="1" t="str">
        <f>"Результат підготовлено СНАП"</f>
        <v>Результат підготовлено СНАП</v>
      </c>
      <c r="K1766" s="5">
        <v>45614</v>
      </c>
      <c r="L1766" s="1" t="str">
        <f>"80.0"</f>
        <v>80.0</v>
      </c>
      <c r="M1766" s="1" t="s">
        <v>22</v>
      </c>
      <c r="N1766" s="1" t="s">
        <v>20</v>
      </c>
    </row>
    <row r="1767" spans="1:14" x14ac:dyDescent="0.3">
      <c r="A1767" s="1" t="str">
        <f>"2_1986/2129-11/2024/п"</f>
        <v>2_1986/2129-11/2024/п</v>
      </c>
      <c r="B1767" s="6">
        <v>45611</v>
      </c>
      <c r="C1767" s="1" t="str">
        <f>"00042"</f>
        <v>00042</v>
      </c>
      <c r="D1767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767" s="1" t="s">
        <v>20</v>
      </c>
      <c r="F1767" s="1" t="str">
        <f t="shared" si="242"/>
        <v>Центр надання адміністративних послуг Рогатинської міської ради</v>
      </c>
      <c r="G1767" s="1" t="str">
        <f>"Юридична особа"</f>
        <v>Юридична особа</v>
      </c>
      <c r="H1767" s="1" t="str">
        <f>"приватне акціонерне товариство ""Національна енергетична компанія ""Укренерго"""</f>
        <v>приватне акціонерне товариство "Національна енергетична компанія "Укренерго"</v>
      </c>
      <c r="I1767" s="1" t="str">
        <f>"00100227"</f>
        <v>00100227</v>
      </c>
      <c r="J1767" s="1" t="str">
        <f>"Результат підготовлено СНАП"</f>
        <v>Результат підготовлено СНАП</v>
      </c>
      <c r="K1767" s="5">
        <v>45623</v>
      </c>
      <c r="L1767" s="1" t="str">
        <f>"150.0"</f>
        <v>150.0</v>
      </c>
      <c r="M1767" s="1" t="s">
        <v>22</v>
      </c>
      <c r="N1767" s="1" t="s">
        <v>20</v>
      </c>
    </row>
    <row r="1768" spans="1:14" x14ac:dyDescent="0.3">
      <c r="A1768" s="1" t="str">
        <f>"1_5864/2129-11/2024/Г"</f>
        <v>1_5864/2129-11/2024/Г</v>
      </c>
      <c r="B1768" s="6">
        <v>45611</v>
      </c>
      <c r="C1768" s="1" t="str">
        <f>"00038"</f>
        <v>00038</v>
      </c>
      <c r="D176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68" s="1" t="s">
        <v>20</v>
      </c>
      <c r="F1768" s="1" t="str">
        <f t="shared" si="242"/>
        <v>Центр надання адміністративних послуг Рогатинської міської ради</v>
      </c>
      <c r="G1768" s="1" t="str">
        <f>"Фізична особа"</f>
        <v>Фізична особа</v>
      </c>
      <c r="H1768" s="1" t="s">
        <v>20</v>
      </c>
      <c r="I1768" s="1" t="s">
        <v>20</v>
      </c>
      <c r="J1768" s="1" t="str">
        <f>"Закрито"</f>
        <v>Закрито</v>
      </c>
      <c r="K1768" s="5">
        <v>45611</v>
      </c>
      <c r="L1768" s="1" t="s">
        <v>20</v>
      </c>
      <c r="M1768" s="1" t="s">
        <v>22</v>
      </c>
      <c r="N1768" s="5">
        <v>45611</v>
      </c>
    </row>
    <row r="1769" spans="1:14" x14ac:dyDescent="0.3">
      <c r="A1769" s="1" t="str">
        <f>"2_1987/2129-11/2024/К"</f>
        <v>2_1987/2129-11/2024/К</v>
      </c>
      <c r="B1769" s="6">
        <v>45611</v>
      </c>
      <c r="C1769" s="1" t="str">
        <f>"00047"</f>
        <v>00047</v>
      </c>
      <c r="D1769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769" s="1" t="s">
        <v>20</v>
      </c>
      <c r="F1769" s="1" t="str">
        <f t="shared" si="242"/>
        <v>Центр надання адміністративних послуг Рогатинської міської ради</v>
      </c>
      <c r="G1769" s="1" t="str">
        <f>"Фізична особа"</f>
        <v>Фізична особа</v>
      </c>
      <c r="H1769" s="1" t="s">
        <v>20</v>
      </c>
      <c r="I1769" s="1" t="s">
        <v>20</v>
      </c>
      <c r="J1769" s="1" t="str">
        <f>"Результат підготовлено СНАП"</f>
        <v>Результат підготовлено СНАП</v>
      </c>
      <c r="K1769" s="5">
        <v>45614</v>
      </c>
      <c r="L1769" s="1" t="str">
        <f>"80.0"</f>
        <v>80.0</v>
      </c>
      <c r="M1769" s="1" t="s">
        <v>22</v>
      </c>
      <c r="N1769" s="1" t="s">
        <v>20</v>
      </c>
    </row>
    <row r="1770" spans="1:14" x14ac:dyDescent="0.3">
      <c r="A1770" s="1" t="str">
        <f>"2_1988/2129-11/2024/п"</f>
        <v>2_1988/2129-11/2024/п</v>
      </c>
      <c r="B1770" s="6">
        <v>45611</v>
      </c>
      <c r="C1770" s="1" t="str">
        <f>"00042"</f>
        <v>00042</v>
      </c>
      <c r="D1770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770" s="1" t="s">
        <v>20</v>
      </c>
      <c r="F1770" s="1" t="str">
        <f t="shared" si="242"/>
        <v>Центр надання адміністративних послуг Рогатинської міської ради</v>
      </c>
      <c r="G1770" s="1" t="str">
        <f>"Юридична особа"</f>
        <v>Юридична особа</v>
      </c>
      <c r="H1770" s="1" t="str">
        <f>"приватне акціонерне товариство ""національна енергетична компанія ""Укренерго"""</f>
        <v>приватне акціонерне товариство "національна енергетична компанія "Укренерго"</v>
      </c>
      <c r="I1770" s="1" t="str">
        <f>"00100227"</f>
        <v>00100227</v>
      </c>
      <c r="J1770" s="1" t="str">
        <f>"Результат підготовлено СНАП"</f>
        <v>Результат підготовлено СНАП</v>
      </c>
      <c r="K1770" s="5">
        <v>45623</v>
      </c>
      <c r="L1770" s="1" t="str">
        <f>"150.0"</f>
        <v>150.0</v>
      </c>
      <c r="M1770" s="1" t="s">
        <v>22</v>
      </c>
      <c r="N1770" s="1" t="s">
        <v>20</v>
      </c>
    </row>
    <row r="1771" spans="1:14" x14ac:dyDescent="0.3">
      <c r="A1771" s="1" t="str">
        <f>"1_5865/2129-11/2024/П"</f>
        <v>1_5865/2129-11/2024/П</v>
      </c>
      <c r="B1771" s="6">
        <v>45611</v>
      </c>
      <c r="C1771" s="1" t="str">
        <f>"00038"</f>
        <v>00038</v>
      </c>
      <c r="D177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71" s="1" t="s">
        <v>20</v>
      </c>
      <c r="F1771" s="1" t="str">
        <f t="shared" si="242"/>
        <v>Центр надання адміністративних послуг Рогатинської міської ради</v>
      </c>
      <c r="G1771" s="1" t="str">
        <f>"Фізична особа"</f>
        <v>Фізична особа</v>
      </c>
      <c r="H1771" s="1" t="s">
        <v>20</v>
      </c>
      <c r="I1771" s="1" t="s">
        <v>20</v>
      </c>
      <c r="J1771" s="1" t="str">
        <f>"Закрито"</f>
        <v>Закрито</v>
      </c>
      <c r="K1771" s="5">
        <v>45611</v>
      </c>
      <c r="L1771" s="1" t="s">
        <v>20</v>
      </c>
      <c r="M1771" s="1" t="s">
        <v>22</v>
      </c>
      <c r="N1771" s="5">
        <v>45611</v>
      </c>
    </row>
    <row r="1772" spans="1:14" x14ac:dyDescent="0.3">
      <c r="A1772" s="1" t="str">
        <f>"2_1989/2129-11/2024/П"</f>
        <v>2_1989/2129-11/2024/П</v>
      </c>
      <c r="B1772" s="6">
        <v>45611</v>
      </c>
      <c r="C1772" s="1" t="str">
        <f>"00042"</f>
        <v>00042</v>
      </c>
      <c r="D1772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772" s="1" t="s">
        <v>20</v>
      </c>
      <c r="F1772" s="1" t="str">
        <f t="shared" si="242"/>
        <v>Центр надання адміністративних послуг Рогатинської міської ради</v>
      </c>
      <c r="G1772" s="1" t="str">
        <f>"Юридична особа"</f>
        <v>Юридична особа</v>
      </c>
      <c r="H1772" s="1" t="str">
        <f>"ПРИВАТНЕ АКЦІОНЕРНЕ ТОВАРИСТВО ""НАЦІОНАЛЬНА ЕНЕРГЕТИЧНА КОМПАНІЯ ""УКРЕНЕРГО"""</f>
        <v>ПРИВАТНЕ АКЦІОНЕРНЕ ТОВАРИСТВО "НАЦІОНАЛЬНА ЕНЕРГЕТИЧНА КОМПАНІЯ "УКРЕНЕРГО"</v>
      </c>
      <c r="I1772" s="1" t="str">
        <f>"00100227"</f>
        <v>00100227</v>
      </c>
      <c r="J1772" s="1" t="str">
        <f>"Результат підготовлено СНАП"</f>
        <v>Результат підготовлено СНАП</v>
      </c>
      <c r="K1772" s="5">
        <v>45623</v>
      </c>
      <c r="L1772" s="1" t="str">
        <f>"150.0"</f>
        <v>150.0</v>
      </c>
      <c r="M1772" s="1" t="s">
        <v>22</v>
      </c>
      <c r="N1772" s="1" t="s">
        <v>20</v>
      </c>
    </row>
    <row r="1773" spans="1:14" x14ac:dyDescent="0.3">
      <c r="A1773" s="1" t="str">
        <f>"2_1990/2129-11/2024/П"</f>
        <v>2_1990/2129-11/2024/П</v>
      </c>
      <c r="B1773" s="6">
        <v>45611</v>
      </c>
      <c r="C1773" s="1" t="str">
        <f>"00042"</f>
        <v>00042</v>
      </c>
      <c r="D1773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773" s="1" t="s">
        <v>20</v>
      </c>
      <c r="F1773" s="1" t="str">
        <f t="shared" si="242"/>
        <v>Центр надання адміністративних послуг Рогатинської міської ради</v>
      </c>
      <c r="G1773" s="1" t="str">
        <f>"Юридична особа"</f>
        <v>Юридична особа</v>
      </c>
      <c r="H1773" s="1" t="str">
        <f>"ПРИВАТНЕ АКЦІОНЕРНЕ ТОВАРИСТВО ""НАЦІОНАЛЬНА ЕНЕРГЕТИЧНА КОМПАНІЯ ""УКРЕНЕРГО"""</f>
        <v>ПРИВАТНЕ АКЦІОНЕРНЕ ТОВАРИСТВО "НАЦІОНАЛЬНА ЕНЕРГЕТИЧНА КОМПАНІЯ "УКРЕНЕРГО"</v>
      </c>
      <c r="I1773" s="1" t="str">
        <f>"00100227"</f>
        <v>00100227</v>
      </c>
      <c r="J1773" s="1" t="str">
        <f>"Результат підготовлено СНАП"</f>
        <v>Результат підготовлено СНАП</v>
      </c>
      <c r="K1773" s="5">
        <v>45623</v>
      </c>
      <c r="L1773" s="1" t="str">
        <f>"150.0"</f>
        <v>150.0</v>
      </c>
      <c r="M1773" s="1" t="s">
        <v>22</v>
      </c>
      <c r="N1773" s="1" t="s">
        <v>20</v>
      </c>
    </row>
    <row r="1774" spans="1:14" x14ac:dyDescent="0.3">
      <c r="A1774" s="1" t="str">
        <f>"26_373-11/2024/М"</f>
        <v>26_373-11/2024/М</v>
      </c>
      <c r="B1774" s="6">
        <v>45611</v>
      </c>
      <c r="C1774" s="1" t="str">
        <f>"00150"</f>
        <v>00150</v>
      </c>
      <c r="D1774" s="2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1774" s="1" t="str">
        <f>"03193413"</f>
        <v>03193413</v>
      </c>
      <c r="F177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74" s="1" t="str">
        <f>"Фізична особа"</f>
        <v>Фізична особа</v>
      </c>
      <c r="H1774" s="1" t="s">
        <v>20</v>
      </c>
      <c r="I1774" s="1" t="s">
        <v>20</v>
      </c>
      <c r="J1774" s="1" t="str">
        <f>"На обробці в СНАП"</f>
        <v>На обробці в СНАП</v>
      </c>
      <c r="K1774" s="1" t="s">
        <v>20</v>
      </c>
      <c r="L1774" s="1" t="s">
        <v>20</v>
      </c>
      <c r="M1774" s="1" t="s">
        <v>22</v>
      </c>
      <c r="N1774" s="1" t="s">
        <v>20</v>
      </c>
    </row>
    <row r="1775" spans="1:14" x14ac:dyDescent="0.3">
      <c r="A1775" s="1" t="str">
        <f>"2_1991/2129-11/2024/П"</f>
        <v>2_1991/2129-11/2024/П</v>
      </c>
      <c r="B1775" s="6">
        <v>45611</v>
      </c>
      <c r="C1775" s="1" t="str">
        <f>"00042"</f>
        <v>00042</v>
      </c>
      <c r="D1775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775" s="1" t="s">
        <v>20</v>
      </c>
      <c r="F1775" s="1" t="str">
        <f t="shared" ref="F1775:F1782" si="243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75" s="1" t="str">
        <f>"Юридична особа"</f>
        <v>Юридична особа</v>
      </c>
      <c r="H1775" s="1" t="str">
        <f>"ПРИВАТНЕ АКЦІОНЕРНЕ ТОВАРИСТВО ""НАЦІОНАЛЬНА ЕНЕРГЕТИЧНА КОМПАНІЯ ""УКРЕНЕРГО"""</f>
        <v>ПРИВАТНЕ АКЦІОНЕРНЕ ТОВАРИСТВО "НАЦІОНАЛЬНА ЕНЕРГЕТИЧНА КОМПАНІЯ "УКРЕНЕРГО"</v>
      </c>
      <c r="I1775" s="1" t="str">
        <f>"00100227"</f>
        <v>00100227</v>
      </c>
      <c r="J1775" s="1" t="str">
        <f>"Результат підготовлено СНАП"</f>
        <v>Результат підготовлено СНАП</v>
      </c>
      <c r="K1775" s="5">
        <v>45623</v>
      </c>
      <c r="L1775" s="1" t="str">
        <f>"150.0"</f>
        <v>150.0</v>
      </c>
      <c r="M1775" s="1" t="s">
        <v>22</v>
      </c>
      <c r="N1775" s="1" t="s">
        <v>20</v>
      </c>
    </row>
    <row r="1776" spans="1:14" x14ac:dyDescent="0.3">
      <c r="A1776" s="1" t="str">
        <f>"2_1992/2129-11/2024/П"</f>
        <v>2_1992/2129-11/2024/П</v>
      </c>
      <c r="B1776" s="6">
        <v>45611</v>
      </c>
      <c r="C1776" s="1" t="str">
        <f>"00042"</f>
        <v>00042</v>
      </c>
      <c r="D1776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1776" s="1" t="s">
        <v>20</v>
      </c>
      <c r="F1776" s="1" t="str">
        <f t="shared" si="243"/>
        <v>Центр надання адміністративних послуг Рогатинської міської ради</v>
      </c>
      <c r="G1776" s="1" t="str">
        <f>"Юридична особа"</f>
        <v>Юридична особа</v>
      </c>
      <c r="H1776" s="1" t="str">
        <f>"ПРИВАТНЕ АКЦІОНЕРНЕ ТОВАРИСТВО ""НАЦІОНАЛЬНА ЕНЕРГЕТИЧНА КОМПАНІЯ ""УКРЕНЕРГО"""</f>
        <v>ПРИВАТНЕ АКЦІОНЕРНЕ ТОВАРИСТВО "НАЦІОНАЛЬНА ЕНЕРГЕТИЧНА КОМПАНІЯ "УКРЕНЕРГО"</v>
      </c>
      <c r="I1776" s="1" t="str">
        <f>"00100227"</f>
        <v>00100227</v>
      </c>
      <c r="J1776" s="1" t="str">
        <f>"Результат підготовлено СНАП"</f>
        <v>Результат підготовлено СНАП</v>
      </c>
      <c r="K1776" s="5">
        <v>45623</v>
      </c>
      <c r="L1776" s="1" t="s">
        <v>20</v>
      </c>
      <c r="M1776" s="1" t="s">
        <v>22</v>
      </c>
      <c r="N1776" s="1" t="s">
        <v>20</v>
      </c>
    </row>
    <row r="1777" spans="1:14" x14ac:dyDescent="0.3">
      <c r="A1777" s="1" t="str">
        <f>"2_1993/2129-11/2024/К"</f>
        <v>2_1993/2129-11/2024/К</v>
      </c>
      <c r="B1777" s="6">
        <v>45611</v>
      </c>
      <c r="C1777" s="1" t="str">
        <f>"00047"</f>
        <v>00047</v>
      </c>
      <c r="D1777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777" s="1" t="s">
        <v>20</v>
      </c>
      <c r="F1777" s="1" t="str">
        <f t="shared" si="243"/>
        <v>Центр надання адміністративних послуг Рогатинської міської ради</v>
      </c>
      <c r="G1777" s="1" t="str">
        <f t="shared" ref="G1777:G1799" si="244">"Фізична особа"</f>
        <v>Фізична особа</v>
      </c>
      <c r="H1777" s="1" t="s">
        <v>20</v>
      </c>
      <c r="I1777" s="1" t="s">
        <v>20</v>
      </c>
      <c r="J1777" s="1" t="str">
        <f>"Закрито"</f>
        <v>Закрито</v>
      </c>
      <c r="K1777" s="5">
        <v>45611</v>
      </c>
      <c r="L1777" s="1" t="str">
        <f>"80.0"</f>
        <v>80.0</v>
      </c>
      <c r="M1777" s="1" t="s">
        <v>22</v>
      </c>
      <c r="N1777" s="5">
        <v>45611</v>
      </c>
    </row>
    <row r="1778" spans="1:14" x14ac:dyDescent="0.3">
      <c r="A1778" s="1" t="str">
        <f>"2_1994/2129-11/2024/М"</f>
        <v>2_1994/2129-11/2024/М</v>
      </c>
      <c r="B1778" s="6">
        <v>45611</v>
      </c>
      <c r="C1778" s="1" t="str">
        <f>"00041"</f>
        <v>00041</v>
      </c>
      <c r="D177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78" s="1" t="s">
        <v>20</v>
      </c>
      <c r="F1778" s="1" t="str">
        <f t="shared" si="243"/>
        <v>Центр надання адміністративних послуг Рогатинської міської ради</v>
      </c>
      <c r="G1778" s="1" t="str">
        <f t="shared" si="244"/>
        <v>Фізична особа</v>
      </c>
      <c r="H1778" s="1" t="s">
        <v>20</v>
      </c>
      <c r="I1778" s="1" t="s">
        <v>20</v>
      </c>
      <c r="J1778" s="1" t="str">
        <f>"Результат підготовлено СНАП"</f>
        <v>Результат підготовлено СНАП</v>
      </c>
      <c r="K1778" s="5">
        <v>45614</v>
      </c>
      <c r="L1778" s="1" t="str">
        <f>"300.0"</f>
        <v>300.0</v>
      </c>
      <c r="M1778" s="1" t="s">
        <v>22</v>
      </c>
      <c r="N1778" s="1" t="s">
        <v>20</v>
      </c>
    </row>
    <row r="1779" spans="1:14" x14ac:dyDescent="0.3">
      <c r="A1779" s="1" t="str">
        <f>"19_527-11/2024/В"</f>
        <v>19_527-11/2024/В</v>
      </c>
      <c r="B1779" s="6">
        <v>45611</v>
      </c>
      <c r="C1779" s="1" t="str">
        <f>"33"</f>
        <v>33</v>
      </c>
      <c r="D1779" s="2" t="str">
        <f>"33 Довідки різного характеру"</f>
        <v>33 Довідки різного характеру</v>
      </c>
      <c r="E1779" s="1" t="s">
        <v>20</v>
      </c>
      <c r="F1779" s="1" t="str">
        <f t="shared" si="243"/>
        <v>Центр надання адміністративних послуг Рогатинської міської ради</v>
      </c>
      <c r="G1779" s="1" t="str">
        <f t="shared" si="244"/>
        <v>Фізична особа</v>
      </c>
      <c r="H1779" s="1" t="s">
        <v>20</v>
      </c>
      <c r="I1779" s="1" t="s">
        <v>20</v>
      </c>
      <c r="J1779" s="1" t="str">
        <f>"Закрито"</f>
        <v>Закрито</v>
      </c>
      <c r="K1779" s="5">
        <v>45611</v>
      </c>
      <c r="L1779" s="1" t="s">
        <v>20</v>
      </c>
      <c r="M1779" s="1" t="s">
        <v>22</v>
      </c>
      <c r="N1779" s="5">
        <v>45611</v>
      </c>
    </row>
    <row r="1780" spans="1:14" x14ac:dyDescent="0.3">
      <c r="A1780" s="1" t="str">
        <f>"2_1995/2129-11/2024/П"</f>
        <v>2_1995/2129-11/2024/П</v>
      </c>
      <c r="B1780" s="6">
        <v>45611</v>
      </c>
      <c r="C1780" s="1" t="str">
        <f>"00041"</f>
        <v>00041</v>
      </c>
      <c r="D178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1780" s="1" t="s">
        <v>20</v>
      </c>
      <c r="F1780" s="1" t="str">
        <f t="shared" si="243"/>
        <v>Центр надання адміністративних послуг Рогатинської міської ради</v>
      </c>
      <c r="G1780" s="1" t="str">
        <f t="shared" si="244"/>
        <v>Фізична особа</v>
      </c>
      <c r="H1780" s="1" t="s">
        <v>20</v>
      </c>
      <c r="I1780" s="1" t="s">
        <v>20</v>
      </c>
      <c r="J1780" s="1" t="str">
        <f>"Результат підготовлено СНАП"</f>
        <v>Результат підготовлено СНАП</v>
      </c>
      <c r="K1780" s="5">
        <v>45614</v>
      </c>
      <c r="L1780" s="1" t="str">
        <f>"300.0"</f>
        <v>300.0</v>
      </c>
      <c r="M1780" s="1" t="s">
        <v>22</v>
      </c>
      <c r="N1780" s="1" t="s">
        <v>20</v>
      </c>
    </row>
    <row r="1781" spans="1:14" x14ac:dyDescent="0.3">
      <c r="A1781" s="1" t="str">
        <f>"2_1996/2129-11/2024/Г"</f>
        <v>2_1996/2129-11/2024/Г</v>
      </c>
      <c r="B1781" s="6">
        <v>45611</v>
      </c>
      <c r="C1781" s="1" t="str">
        <f>"00047"</f>
        <v>00047</v>
      </c>
      <c r="D1781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1781" s="1" t="s">
        <v>20</v>
      </c>
      <c r="F1781" s="1" t="str">
        <f t="shared" si="243"/>
        <v>Центр надання адміністративних послуг Рогатинської міської ради</v>
      </c>
      <c r="G1781" s="1" t="str">
        <f t="shared" si="244"/>
        <v>Фізична особа</v>
      </c>
      <c r="H1781" s="1" t="s">
        <v>20</v>
      </c>
      <c r="I1781" s="1" t="s">
        <v>20</v>
      </c>
      <c r="J1781" s="1" t="str">
        <f>"Результат підготовлено СНАП"</f>
        <v>Результат підготовлено СНАП</v>
      </c>
      <c r="K1781" s="5">
        <v>45614</v>
      </c>
      <c r="L1781" s="1" t="str">
        <f>"80.0"</f>
        <v>80.0</v>
      </c>
      <c r="M1781" s="1" t="s">
        <v>22</v>
      </c>
      <c r="N1781" s="1" t="s">
        <v>20</v>
      </c>
    </row>
    <row r="1782" spans="1:14" x14ac:dyDescent="0.3">
      <c r="A1782" s="1" t="str">
        <f>"26_374-11/2024/Б"</f>
        <v>26_374-11/2024/Б</v>
      </c>
      <c r="B1782" s="6">
        <v>45611</v>
      </c>
      <c r="C1782" s="1" t="str">
        <f>"00038"</f>
        <v>00038</v>
      </c>
      <c r="D178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82" s="1" t="s">
        <v>20</v>
      </c>
      <c r="F1782" s="1" t="str">
        <f t="shared" si="243"/>
        <v>Центр надання адміністративних послуг Рогатинської міської ради</v>
      </c>
      <c r="G1782" s="1" t="str">
        <f t="shared" si="244"/>
        <v>Фізична особа</v>
      </c>
      <c r="H1782" s="1" t="s">
        <v>20</v>
      </c>
      <c r="I1782" s="1" t="s">
        <v>20</v>
      </c>
      <c r="J1782" s="1" t="str">
        <f t="shared" ref="J1782:J1789" si="245">"Закрито"</f>
        <v>Закрито</v>
      </c>
      <c r="K1782" s="5">
        <v>45611</v>
      </c>
      <c r="L1782" s="1" t="s">
        <v>20</v>
      </c>
      <c r="M1782" s="1" t="s">
        <v>22</v>
      </c>
      <c r="N1782" s="5">
        <v>45611</v>
      </c>
    </row>
    <row r="1783" spans="1:14" x14ac:dyDescent="0.3">
      <c r="A1783" s="1" t="str">
        <f>"16_683-11/2024/М"</f>
        <v>16_683-11/2024/М</v>
      </c>
      <c r="B1783" s="6">
        <v>45611</v>
      </c>
      <c r="C1783" s="1" t="str">
        <f>"00133"</f>
        <v>00133</v>
      </c>
      <c r="D1783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783" s="1" t="str">
        <f>"03193413"</f>
        <v>03193413</v>
      </c>
      <c r="F178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83" s="1" t="str">
        <f t="shared" si="244"/>
        <v>Фізична особа</v>
      </c>
      <c r="H1783" s="1" t="s">
        <v>20</v>
      </c>
      <c r="I1783" s="1" t="s">
        <v>20</v>
      </c>
      <c r="J1783" s="1" t="str">
        <f t="shared" si="245"/>
        <v>Закрито</v>
      </c>
      <c r="K1783" s="5">
        <v>45639</v>
      </c>
      <c r="L1783" s="1" t="s">
        <v>20</v>
      </c>
      <c r="M1783" s="1" t="s">
        <v>22</v>
      </c>
      <c r="N1783" s="5">
        <v>45639</v>
      </c>
    </row>
    <row r="1784" spans="1:14" x14ac:dyDescent="0.3">
      <c r="A1784" s="1" t="str">
        <f>"16_684-11/2024/М"</f>
        <v>16_684-11/2024/М</v>
      </c>
      <c r="B1784" s="6">
        <v>45611</v>
      </c>
      <c r="C1784" s="1" t="str">
        <f>"33"</f>
        <v>33</v>
      </c>
      <c r="D1784" s="2" t="str">
        <f>"33 Довідки різного характеру"</f>
        <v>33 Довідки різного характеру</v>
      </c>
      <c r="E1784" s="1" t="s">
        <v>20</v>
      </c>
      <c r="F178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84" s="1" t="str">
        <f t="shared" si="244"/>
        <v>Фізична особа</v>
      </c>
      <c r="H1784" s="1" t="s">
        <v>20</v>
      </c>
      <c r="I1784" s="1" t="s">
        <v>20</v>
      </c>
      <c r="J1784" s="1" t="str">
        <f t="shared" si="245"/>
        <v>Закрито</v>
      </c>
      <c r="K1784" s="5">
        <v>45611</v>
      </c>
      <c r="L1784" s="1" t="s">
        <v>20</v>
      </c>
      <c r="M1784" s="1" t="s">
        <v>22</v>
      </c>
      <c r="N1784" s="5">
        <v>45611</v>
      </c>
    </row>
    <row r="1785" spans="1:14" x14ac:dyDescent="0.3">
      <c r="A1785" s="1" t="str">
        <f>"3_856-11/2024/Н"</f>
        <v>3_856-11/2024/Н</v>
      </c>
      <c r="B1785" s="6">
        <v>45611</v>
      </c>
      <c r="C1785" s="1" t="str">
        <f>"00037"</f>
        <v>00037</v>
      </c>
      <c r="D1785" s="2" t="str">
        <f>"Зняття з реєстрації місця проживання"</f>
        <v>Зняття з реєстрації місця проживання</v>
      </c>
      <c r="E1785" s="1" t="s">
        <v>20</v>
      </c>
      <c r="F178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85" s="1" t="str">
        <f t="shared" si="244"/>
        <v>Фізична особа</v>
      </c>
      <c r="H1785" s="1" t="s">
        <v>20</v>
      </c>
      <c r="I1785" s="1" t="s">
        <v>20</v>
      </c>
      <c r="J1785" s="1" t="str">
        <f t="shared" si="245"/>
        <v>Закрито</v>
      </c>
      <c r="K1785" s="5">
        <v>45611</v>
      </c>
      <c r="L1785" s="1" t="str">
        <f>"45.42"</f>
        <v>45.42</v>
      </c>
      <c r="M1785" s="1" t="s">
        <v>22</v>
      </c>
      <c r="N1785" s="5">
        <v>45611</v>
      </c>
    </row>
    <row r="1786" spans="1:14" x14ac:dyDescent="0.3">
      <c r="A1786" s="1" t="str">
        <f>"34_388-11/2024/Г"</f>
        <v>34_388-11/2024/Г</v>
      </c>
      <c r="B1786" s="6">
        <v>45611</v>
      </c>
      <c r="C1786" s="1" t="str">
        <f>"00064"</f>
        <v>00064</v>
      </c>
      <c r="D1786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786" s="1" t="s">
        <v>20</v>
      </c>
      <c r="F1786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786" s="1" t="str">
        <f t="shared" si="244"/>
        <v>Фізична особа</v>
      </c>
      <c r="H1786" s="1" t="s">
        <v>20</v>
      </c>
      <c r="I1786" s="1" t="s">
        <v>20</v>
      </c>
      <c r="J1786" s="1" t="str">
        <f t="shared" si="245"/>
        <v>Закрито</v>
      </c>
      <c r="K1786" s="5">
        <v>45611</v>
      </c>
      <c r="L1786" s="1" t="s">
        <v>20</v>
      </c>
      <c r="M1786" s="1" t="s">
        <v>22</v>
      </c>
      <c r="N1786" s="5">
        <v>45611</v>
      </c>
    </row>
    <row r="1787" spans="1:14" x14ac:dyDescent="0.3">
      <c r="A1787" s="1" t="str">
        <f>"1_5866/2129-11/2024/П"</f>
        <v>1_5866/2129-11/2024/П</v>
      </c>
      <c r="B1787" s="6">
        <v>45611</v>
      </c>
      <c r="C1787" s="1" t="str">
        <f>"00038"</f>
        <v>00038</v>
      </c>
      <c r="D178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87" s="1" t="s">
        <v>20</v>
      </c>
      <c r="F178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87" s="1" t="str">
        <f t="shared" si="244"/>
        <v>Фізична особа</v>
      </c>
      <c r="H1787" s="1" t="s">
        <v>20</v>
      </c>
      <c r="I1787" s="1" t="s">
        <v>20</v>
      </c>
      <c r="J1787" s="1" t="str">
        <f t="shared" si="245"/>
        <v>Закрито</v>
      </c>
      <c r="K1787" s="5">
        <v>45611</v>
      </c>
      <c r="L1787" s="1" t="s">
        <v>20</v>
      </c>
      <c r="M1787" s="1" t="s">
        <v>22</v>
      </c>
      <c r="N1787" s="5">
        <v>45611</v>
      </c>
    </row>
    <row r="1788" spans="1:14" x14ac:dyDescent="0.3">
      <c r="A1788" s="1" t="str">
        <f>"1_5867/2129-11/2024/П"</f>
        <v>1_5867/2129-11/2024/П</v>
      </c>
      <c r="B1788" s="6">
        <v>45611</v>
      </c>
      <c r="C1788" s="1" t="str">
        <f>"00038"</f>
        <v>00038</v>
      </c>
      <c r="D178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88" s="1" t="s">
        <v>20</v>
      </c>
      <c r="F17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88" s="1" t="str">
        <f t="shared" si="244"/>
        <v>Фізична особа</v>
      </c>
      <c r="H1788" s="1" t="s">
        <v>20</v>
      </c>
      <c r="I1788" s="1" t="s">
        <v>20</v>
      </c>
      <c r="J1788" s="1" t="str">
        <f t="shared" si="245"/>
        <v>Закрито</v>
      </c>
      <c r="K1788" s="5">
        <v>45611</v>
      </c>
      <c r="L1788" s="1" t="s">
        <v>20</v>
      </c>
      <c r="M1788" s="1" t="s">
        <v>22</v>
      </c>
      <c r="N1788" s="5">
        <v>45611</v>
      </c>
    </row>
    <row r="1789" spans="1:14" x14ac:dyDescent="0.3">
      <c r="A1789" s="1" t="str">
        <f>"34_389-11/2024/Б"</f>
        <v>34_389-11/2024/Б</v>
      </c>
      <c r="B1789" s="6">
        <v>45611</v>
      </c>
      <c r="C1789" s="1" t="str">
        <f>"33"</f>
        <v>33</v>
      </c>
      <c r="D1789" s="2" t="str">
        <f>"33 Довідки різного характеру"</f>
        <v>33 Довідки різного характеру</v>
      </c>
      <c r="E1789" s="1" t="s">
        <v>20</v>
      </c>
      <c r="F178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89" s="1" t="str">
        <f t="shared" si="244"/>
        <v>Фізична особа</v>
      </c>
      <c r="H1789" s="1" t="s">
        <v>20</v>
      </c>
      <c r="I1789" s="1" t="s">
        <v>20</v>
      </c>
      <c r="J1789" s="1" t="str">
        <f t="shared" si="245"/>
        <v>Закрито</v>
      </c>
      <c r="K1789" s="5">
        <v>45611</v>
      </c>
      <c r="L1789" s="1" t="s">
        <v>20</v>
      </c>
      <c r="M1789" s="1" t="s">
        <v>22</v>
      </c>
      <c r="N1789" s="5">
        <v>45611</v>
      </c>
    </row>
    <row r="1790" spans="1:14" x14ac:dyDescent="0.3">
      <c r="A1790" s="1" t="str">
        <f>"9_1668/04054323-11/2024/С"</f>
        <v>9_1668/04054323-11/2024/С</v>
      </c>
      <c r="B1790" s="6">
        <v>45611</v>
      </c>
      <c r="C1790" s="1" t="str">
        <f>"00182"</f>
        <v>00182</v>
      </c>
      <c r="D1790" s="2" t="str">
        <f>"Затвердження проекту землеустрою щодо відведення земельної ділянки"</f>
        <v>Затвердження проекту землеустрою щодо відведення земельної ділянки</v>
      </c>
      <c r="E1790" s="1" t="str">
        <f>"04054323"</f>
        <v>04054323</v>
      </c>
      <c r="F1790" s="1" t="str">
        <f>"Рогатинська міська рада"</f>
        <v>Рогатинська міська рада</v>
      </c>
      <c r="G1790" s="1" t="str">
        <f t="shared" si="244"/>
        <v>Фізична особа</v>
      </c>
      <c r="H1790" s="1" t="s">
        <v>20</v>
      </c>
      <c r="I1790" s="1" t="s">
        <v>20</v>
      </c>
      <c r="J1790" s="1" t="str">
        <f>"На обробці в СНАП"</f>
        <v>На обробці в СНАП</v>
      </c>
      <c r="K1790" s="1" t="s">
        <v>20</v>
      </c>
      <c r="L1790" s="1" t="s">
        <v>20</v>
      </c>
      <c r="M1790" s="1" t="s">
        <v>22</v>
      </c>
      <c r="N1790" s="1" t="s">
        <v>20</v>
      </c>
    </row>
    <row r="1791" spans="1:14" x14ac:dyDescent="0.3">
      <c r="A1791" s="1" t="str">
        <f>"14_996-11/2024/Л"</f>
        <v>14_996-11/2024/Л</v>
      </c>
      <c r="B1791" s="6">
        <v>45611</v>
      </c>
      <c r="C1791" s="1" t="str">
        <f>"00104"</f>
        <v>00104</v>
      </c>
      <c r="D1791" s="2" t="str">
        <f>"Призначення щомісячної адресної грошової допомоги внутрішньо переміщеним особам для покриття витрат на проживання, в тому числі на оплату житлово-комунальних послуг"</f>
        <v>Призначення щомісячної адресної грошової допомоги внутрішньо переміщеним особам для покриття витрат на проживання, в тому числі на оплату житлово-комунальних послуг</v>
      </c>
      <c r="E1791" s="1" t="str">
        <f>"03193413"</f>
        <v>03193413</v>
      </c>
      <c r="F179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91" s="1" t="str">
        <f t="shared" si="244"/>
        <v>Фізична особа</v>
      </c>
      <c r="H1791" s="1" t="s">
        <v>20</v>
      </c>
      <c r="I1791" s="1" t="s">
        <v>20</v>
      </c>
      <c r="J1791" s="1" t="str">
        <f>"На обробці в СНАП"</f>
        <v>На обробці в СНАП</v>
      </c>
      <c r="K1791" s="1" t="s">
        <v>20</v>
      </c>
      <c r="L1791" s="1" t="s">
        <v>20</v>
      </c>
      <c r="M1791" s="1" t="s">
        <v>22</v>
      </c>
      <c r="N1791" s="1" t="s">
        <v>20</v>
      </c>
    </row>
    <row r="1792" spans="1:14" x14ac:dyDescent="0.3">
      <c r="A1792" s="1" t="str">
        <f>"23_447-11/2024/К"</f>
        <v>23_447-11/2024/К</v>
      </c>
      <c r="B1792" s="6">
        <v>45611</v>
      </c>
      <c r="C1792" s="1" t="str">
        <f>"00104"</f>
        <v>00104</v>
      </c>
      <c r="D1792" s="2" t="str">
        <f>"Призначення щомісячної адресної грошової допомоги внутрішньо переміщеним особам для покриття витрат на проживання, в тому числі на оплату житлово-комунальних послуг"</f>
        <v>Призначення щомісячної адресної грошової допомоги внутрішньо переміщеним особам для покриття витрат на проживання, в тому числі на оплату житлово-комунальних послуг</v>
      </c>
      <c r="E1792" s="1" t="str">
        <f>"03193413"</f>
        <v>03193413</v>
      </c>
      <c r="F179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92" s="1" t="str">
        <f t="shared" si="244"/>
        <v>Фізична особа</v>
      </c>
      <c r="H1792" s="1" t="s">
        <v>20</v>
      </c>
      <c r="I1792" s="1" t="s">
        <v>20</v>
      </c>
      <c r="J1792" s="1" t="str">
        <f>"Закрито"</f>
        <v>Закрито</v>
      </c>
      <c r="K1792" s="5">
        <v>45621</v>
      </c>
      <c r="L1792" s="1" t="s">
        <v>20</v>
      </c>
      <c r="M1792" s="1" t="s">
        <v>22</v>
      </c>
      <c r="N1792" s="5">
        <v>45621</v>
      </c>
    </row>
    <row r="1793" spans="1:14" x14ac:dyDescent="0.3">
      <c r="A1793" s="1" t="str">
        <f>"26_375-11/2024/Б"</f>
        <v>26_375-11/2024/Б</v>
      </c>
      <c r="B1793" s="6">
        <v>45611</v>
      </c>
      <c r="C1793" s="1" t="str">
        <f>"00038"</f>
        <v>00038</v>
      </c>
      <c r="D179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93" s="1" t="s">
        <v>20</v>
      </c>
      <c r="F179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93" s="1" t="str">
        <f t="shared" si="244"/>
        <v>Фізична особа</v>
      </c>
      <c r="H1793" s="1" t="s">
        <v>20</v>
      </c>
      <c r="I1793" s="1" t="s">
        <v>20</v>
      </c>
      <c r="J1793" s="1" t="str">
        <f>"Закрито"</f>
        <v>Закрито</v>
      </c>
      <c r="K1793" s="5">
        <v>45611</v>
      </c>
      <c r="L1793" s="1" t="s">
        <v>20</v>
      </c>
      <c r="M1793" s="1" t="s">
        <v>22</v>
      </c>
      <c r="N1793" s="5">
        <v>45611</v>
      </c>
    </row>
    <row r="1794" spans="1:14" x14ac:dyDescent="0.3">
      <c r="A1794" s="1" t="str">
        <f>"26_376-11/2024/Т"</f>
        <v>26_376-11/2024/Т</v>
      </c>
      <c r="B1794" s="6">
        <v>45611</v>
      </c>
      <c r="C1794" s="1" t="str">
        <f>"00038"</f>
        <v>00038</v>
      </c>
      <c r="D179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94" s="1" t="s">
        <v>20</v>
      </c>
      <c r="F17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94" s="1" t="str">
        <f t="shared" si="244"/>
        <v>Фізична особа</v>
      </c>
      <c r="H1794" s="1" t="s">
        <v>20</v>
      </c>
      <c r="I1794" s="1" t="s">
        <v>20</v>
      </c>
      <c r="J1794" s="1" t="str">
        <f>"Закрито"</f>
        <v>Закрито</v>
      </c>
      <c r="K1794" s="5">
        <v>45611</v>
      </c>
      <c r="L1794" s="1" t="s">
        <v>20</v>
      </c>
      <c r="M1794" s="1" t="s">
        <v>22</v>
      </c>
      <c r="N1794" s="5">
        <v>45611</v>
      </c>
    </row>
    <row r="1795" spans="1:14" x14ac:dyDescent="0.3">
      <c r="A1795" s="1" t="str">
        <f>"18_634-11/2024/Т"</f>
        <v>18_634-11/2024/Т</v>
      </c>
      <c r="B1795" s="6">
        <v>45611</v>
      </c>
      <c r="C1795" s="1" t="str">
        <f>"00038"</f>
        <v>00038</v>
      </c>
      <c r="D179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95" s="1" t="s">
        <v>20</v>
      </c>
      <c r="F179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95" s="1" t="str">
        <f t="shared" si="244"/>
        <v>Фізична особа</v>
      </c>
      <c r="H1795" s="1" t="s">
        <v>20</v>
      </c>
      <c r="I1795" s="1" t="s">
        <v>20</v>
      </c>
      <c r="J1795" s="1" t="str">
        <f>"Закрито"</f>
        <v>Закрито</v>
      </c>
      <c r="K1795" s="5">
        <v>45611</v>
      </c>
      <c r="L1795" s="1" t="s">
        <v>20</v>
      </c>
      <c r="M1795" s="1" t="s">
        <v>22</v>
      </c>
      <c r="N1795" s="5">
        <v>45611</v>
      </c>
    </row>
    <row r="1796" spans="1:14" x14ac:dyDescent="0.3">
      <c r="A1796" s="1" t="str">
        <f>"18_635-11/2024/Т"</f>
        <v>18_635-11/2024/Т</v>
      </c>
      <c r="B1796" s="6">
        <v>45611</v>
      </c>
      <c r="C1796" s="1" t="str">
        <f>"00103"</f>
        <v>00103</v>
      </c>
      <c r="D1796" s="2" t="s">
        <v>1</v>
      </c>
      <c r="E1796" s="1" t="str">
        <f>"03193413"</f>
        <v>03193413</v>
      </c>
      <c r="F179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796" s="1" t="str">
        <f t="shared" si="244"/>
        <v>Фізична особа</v>
      </c>
      <c r="H1796" s="1" t="s">
        <v>20</v>
      </c>
      <c r="I1796" s="1" t="s">
        <v>20</v>
      </c>
      <c r="J1796" s="1" t="str">
        <f>"На обробці в СНАП"</f>
        <v>На обробці в СНАП</v>
      </c>
      <c r="K1796" s="1" t="s">
        <v>20</v>
      </c>
      <c r="L1796" s="1" t="s">
        <v>20</v>
      </c>
      <c r="M1796" s="1" t="s">
        <v>22</v>
      </c>
      <c r="N1796" s="1" t="s">
        <v>20</v>
      </c>
    </row>
    <row r="1797" spans="1:14" x14ac:dyDescent="0.3">
      <c r="A1797" s="1" t="str">
        <f>"18_636-11/2024/Т"</f>
        <v>18_636-11/2024/Т</v>
      </c>
      <c r="B1797" s="6">
        <v>45611</v>
      </c>
      <c r="C1797" s="1" t="str">
        <f>"33"</f>
        <v>33</v>
      </c>
      <c r="D1797" s="2" t="str">
        <f>"33 Довідки різного характеру"</f>
        <v>33 Довідки різного характеру</v>
      </c>
      <c r="E1797" s="1" t="s">
        <v>20</v>
      </c>
      <c r="F1797" s="1" t="str">
        <f t="shared" ref="F1797:F1818" si="246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797" s="1" t="str">
        <f t="shared" si="244"/>
        <v>Фізична особа</v>
      </c>
      <c r="H1797" s="1" t="s">
        <v>20</v>
      </c>
      <c r="I1797" s="1" t="s">
        <v>20</v>
      </c>
      <c r="J1797" s="1" t="str">
        <f t="shared" ref="J1797:J1826" si="247">"Закрито"</f>
        <v>Закрито</v>
      </c>
      <c r="K1797" s="5">
        <v>45611</v>
      </c>
      <c r="L1797" s="1" t="s">
        <v>20</v>
      </c>
      <c r="M1797" s="1" t="s">
        <v>22</v>
      </c>
      <c r="N1797" s="5">
        <v>45611</v>
      </c>
    </row>
    <row r="1798" spans="1:14" x14ac:dyDescent="0.3">
      <c r="A1798" s="1" t="str">
        <f>"18_637-11/2024/Т"</f>
        <v>18_637-11/2024/Т</v>
      </c>
      <c r="B1798" s="6">
        <v>45611</v>
      </c>
      <c r="C1798" s="1" t="str">
        <f>"33"</f>
        <v>33</v>
      </c>
      <c r="D1798" s="2" t="str">
        <f>"33 Довідки різного характеру"</f>
        <v>33 Довідки різного характеру</v>
      </c>
      <c r="E1798" s="1" t="s">
        <v>20</v>
      </c>
      <c r="F1798" s="1" t="str">
        <f t="shared" si="246"/>
        <v>Центр надання адміністративних послуг Рогатинської міської ради</v>
      </c>
      <c r="G1798" s="1" t="str">
        <f t="shared" si="244"/>
        <v>Фізична особа</v>
      </c>
      <c r="H1798" s="1" t="s">
        <v>20</v>
      </c>
      <c r="I1798" s="1" t="s">
        <v>20</v>
      </c>
      <c r="J1798" s="1" t="str">
        <f t="shared" si="247"/>
        <v>Закрито</v>
      </c>
      <c r="K1798" s="5">
        <v>45611</v>
      </c>
      <c r="L1798" s="1" t="s">
        <v>20</v>
      </c>
      <c r="M1798" s="1" t="s">
        <v>22</v>
      </c>
      <c r="N1798" s="5">
        <v>45611</v>
      </c>
    </row>
    <row r="1799" spans="1:14" x14ac:dyDescent="0.3">
      <c r="A1799" s="1" t="str">
        <f>"18_638-11/2024/Т"</f>
        <v>18_638-11/2024/Т</v>
      </c>
      <c r="B1799" s="6">
        <v>45611</v>
      </c>
      <c r="C1799" s="1" t="str">
        <f>"00038"</f>
        <v>00038</v>
      </c>
      <c r="D179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799" s="1" t="s">
        <v>20</v>
      </c>
      <c r="F1799" s="1" t="str">
        <f t="shared" si="246"/>
        <v>Центр надання адміністративних послуг Рогатинської міської ради</v>
      </c>
      <c r="G1799" s="1" t="str">
        <f t="shared" si="244"/>
        <v>Фізична особа</v>
      </c>
      <c r="H1799" s="1" t="s">
        <v>20</v>
      </c>
      <c r="I1799" s="1" t="s">
        <v>20</v>
      </c>
      <c r="J1799" s="1" t="str">
        <f t="shared" si="247"/>
        <v>Закрито</v>
      </c>
      <c r="K1799" s="5">
        <v>45611</v>
      </c>
      <c r="L1799" s="1" t="s">
        <v>20</v>
      </c>
      <c r="M1799" s="1" t="s">
        <v>22</v>
      </c>
      <c r="N1799" s="5">
        <v>45611</v>
      </c>
    </row>
    <row r="1800" spans="1:14" x14ac:dyDescent="0.3">
      <c r="A1800" s="1" t="str">
        <f>"28_652-11/2024/П"</f>
        <v>28_652-11/2024/П</v>
      </c>
      <c r="B1800" s="6">
        <v>45611</v>
      </c>
      <c r="C1800" s="1" t="str">
        <f>"01495"</f>
        <v>01495</v>
      </c>
      <c r="D1800" s="2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1800" s="1" t="s">
        <v>20</v>
      </c>
      <c r="F1800" s="1" t="str">
        <f t="shared" si="246"/>
        <v>Центр надання адміністративних послуг Рогатинської міської ради</v>
      </c>
      <c r="G1800" s="1" t="str">
        <f>"Юридична особа"</f>
        <v>Юридична особа</v>
      </c>
      <c r="H1800" s="1" t="str">
        <f>"Приватний нотаріус Дзера Мар'яна Любомирівна"</f>
        <v>Приватний нотаріус Дзера Мар'яна Любомирівна</v>
      </c>
      <c r="I1800" s="1" t="s">
        <v>20</v>
      </c>
      <c r="J1800" s="1" t="str">
        <f t="shared" si="247"/>
        <v>Закрито</v>
      </c>
      <c r="K1800" s="5">
        <v>45611</v>
      </c>
      <c r="L1800" s="1" t="s">
        <v>20</v>
      </c>
      <c r="M1800" s="1" t="s">
        <v>22</v>
      </c>
      <c r="N1800" s="5">
        <v>45611</v>
      </c>
    </row>
    <row r="1801" spans="1:14" x14ac:dyDescent="0.3">
      <c r="A1801" s="1" t="str">
        <f>"18_639-11/2024/Ш"</f>
        <v>18_639-11/2024/Ш</v>
      </c>
      <c r="B1801" s="6">
        <v>45611</v>
      </c>
      <c r="C1801" s="1" t="str">
        <f>"00038"</f>
        <v>00038</v>
      </c>
      <c r="D180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01" s="1" t="s">
        <v>20</v>
      </c>
      <c r="F1801" s="1" t="str">
        <f t="shared" si="246"/>
        <v>Центр надання адміністративних послуг Рогатинської міської ради</v>
      </c>
      <c r="G1801" s="1" t="str">
        <f t="shared" ref="G1801:G1841" si="248">"Фізична особа"</f>
        <v>Фізична особа</v>
      </c>
      <c r="H1801" s="1" t="s">
        <v>20</v>
      </c>
      <c r="I1801" s="1" t="s">
        <v>20</v>
      </c>
      <c r="J1801" s="1" t="str">
        <f t="shared" si="247"/>
        <v>Закрито</v>
      </c>
      <c r="K1801" s="5">
        <v>45611</v>
      </c>
      <c r="L1801" s="1" t="s">
        <v>20</v>
      </c>
      <c r="M1801" s="1" t="s">
        <v>22</v>
      </c>
      <c r="N1801" s="5">
        <v>45611</v>
      </c>
    </row>
    <row r="1802" spans="1:14" x14ac:dyDescent="0.3">
      <c r="A1802" s="1" t="str">
        <f>"18_640-11/2024/Ш"</f>
        <v>18_640-11/2024/Ш</v>
      </c>
      <c r="B1802" s="6">
        <v>45611</v>
      </c>
      <c r="C1802" s="1" t="str">
        <f>"00038"</f>
        <v>00038</v>
      </c>
      <c r="D180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02" s="1" t="s">
        <v>20</v>
      </c>
      <c r="F1802" s="1" t="str">
        <f t="shared" si="246"/>
        <v>Центр надання адміністративних послуг Рогатинської міської ради</v>
      </c>
      <c r="G1802" s="1" t="str">
        <f t="shared" si="248"/>
        <v>Фізична особа</v>
      </c>
      <c r="H1802" s="1" t="s">
        <v>20</v>
      </c>
      <c r="I1802" s="1" t="s">
        <v>20</v>
      </c>
      <c r="J1802" s="1" t="str">
        <f t="shared" si="247"/>
        <v>Закрито</v>
      </c>
      <c r="K1802" s="5">
        <v>45611</v>
      </c>
      <c r="L1802" s="1" t="s">
        <v>20</v>
      </c>
      <c r="M1802" s="1" t="s">
        <v>22</v>
      </c>
      <c r="N1802" s="5">
        <v>45611</v>
      </c>
    </row>
    <row r="1803" spans="1:14" x14ac:dyDescent="0.3">
      <c r="A1803" s="1" t="str">
        <f>"28_653-11/2024/В"</f>
        <v>28_653-11/2024/В</v>
      </c>
      <c r="B1803" s="6">
        <v>45611</v>
      </c>
      <c r="C1803" s="1" t="str">
        <f>"33"</f>
        <v>33</v>
      </c>
      <c r="D1803" s="2" t="str">
        <f>"33 Довідки різного характеру"</f>
        <v>33 Довідки різного характеру</v>
      </c>
      <c r="E1803" s="1" t="s">
        <v>20</v>
      </c>
      <c r="F1803" s="1" t="str">
        <f t="shared" si="246"/>
        <v>Центр надання адміністративних послуг Рогатинської міської ради</v>
      </c>
      <c r="G1803" s="1" t="str">
        <f t="shared" si="248"/>
        <v>Фізична особа</v>
      </c>
      <c r="H1803" s="1" t="s">
        <v>20</v>
      </c>
      <c r="I1803" s="1" t="s">
        <v>20</v>
      </c>
      <c r="J1803" s="1" t="str">
        <f t="shared" si="247"/>
        <v>Закрито</v>
      </c>
      <c r="K1803" s="5">
        <v>45611</v>
      </c>
      <c r="L1803" s="1" t="s">
        <v>20</v>
      </c>
      <c r="M1803" s="1" t="s">
        <v>22</v>
      </c>
      <c r="N1803" s="5">
        <v>45611</v>
      </c>
    </row>
    <row r="1804" spans="1:14" x14ac:dyDescent="0.3">
      <c r="A1804" s="1" t="str">
        <f>"1_706-11/2024/Г"</f>
        <v>1_706-11/2024/Г</v>
      </c>
      <c r="B1804" s="6">
        <v>45611</v>
      </c>
      <c r="C1804" s="1" t="str">
        <f t="shared" ref="C1804:C1809" si="249">"00038"</f>
        <v>00038</v>
      </c>
      <c r="D1804" s="2" t="str">
        <f t="shared" ref="D1804:D1809" si="250"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04" s="1" t="s">
        <v>20</v>
      </c>
      <c r="F1804" s="1" t="str">
        <f t="shared" si="246"/>
        <v>Центр надання адміністративних послуг Рогатинської міської ради</v>
      </c>
      <c r="G1804" s="1" t="str">
        <f t="shared" si="248"/>
        <v>Фізична особа</v>
      </c>
      <c r="H1804" s="1" t="s">
        <v>20</v>
      </c>
      <c r="I1804" s="1" t="s">
        <v>20</v>
      </c>
      <c r="J1804" s="1" t="str">
        <f t="shared" si="247"/>
        <v>Закрито</v>
      </c>
      <c r="K1804" s="5">
        <v>45611</v>
      </c>
      <c r="L1804" s="1" t="s">
        <v>20</v>
      </c>
      <c r="M1804" s="1" t="s">
        <v>22</v>
      </c>
      <c r="N1804" s="5">
        <v>45611</v>
      </c>
    </row>
    <row r="1805" spans="1:14" x14ac:dyDescent="0.3">
      <c r="A1805" s="1" t="str">
        <f>"1_707-11/2024/Г"</f>
        <v>1_707-11/2024/Г</v>
      </c>
      <c r="B1805" s="6">
        <v>45611</v>
      </c>
      <c r="C1805" s="1" t="str">
        <f t="shared" si="249"/>
        <v>00038</v>
      </c>
      <c r="D1805" s="2" t="str">
        <f t="shared" si="250"/>
        <v>Видача довідки про реєстрацію місця проживання або місця перебування особи</v>
      </c>
      <c r="E1805" s="1" t="s">
        <v>20</v>
      </c>
      <c r="F1805" s="1" t="str">
        <f t="shared" si="246"/>
        <v>Центр надання адміністративних послуг Рогатинської міської ради</v>
      </c>
      <c r="G1805" s="1" t="str">
        <f t="shared" si="248"/>
        <v>Фізична особа</v>
      </c>
      <c r="H1805" s="1" t="s">
        <v>20</v>
      </c>
      <c r="I1805" s="1" t="s">
        <v>20</v>
      </c>
      <c r="J1805" s="1" t="str">
        <f t="shared" si="247"/>
        <v>Закрито</v>
      </c>
      <c r="K1805" s="5">
        <v>45611</v>
      </c>
      <c r="L1805" s="1" t="s">
        <v>20</v>
      </c>
      <c r="M1805" s="1" t="s">
        <v>22</v>
      </c>
      <c r="N1805" s="5">
        <v>45611</v>
      </c>
    </row>
    <row r="1806" spans="1:14" x14ac:dyDescent="0.3">
      <c r="A1806" s="1" t="str">
        <f>"1_708-11/2024/Г"</f>
        <v>1_708-11/2024/Г</v>
      </c>
      <c r="B1806" s="6">
        <v>45611</v>
      </c>
      <c r="C1806" s="1" t="str">
        <f t="shared" si="249"/>
        <v>00038</v>
      </c>
      <c r="D1806" s="2" t="str">
        <f t="shared" si="250"/>
        <v>Видача довідки про реєстрацію місця проживання або місця перебування особи</v>
      </c>
      <c r="E1806" s="1" t="s">
        <v>20</v>
      </c>
      <c r="F1806" s="1" t="str">
        <f t="shared" si="246"/>
        <v>Центр надання адміністративних послуг Рогатинської міської ради</v>
      </c>
      <c r="G1806" s="1" t="str">
        <f t="shared" si="248"/>
        <v>Фізична особа</v>
      </c>
      <c r="H1806" s="1" t="s">
        <v>20</v>
      </c>
      <c r="I1806" s="1" t="s">
        <v>20</v>
      </c>
      <c r="J1806" s="1" t="str">
        <f t="shared" si="247"/>
        <v>Закрито</v>
      </c>
      <c r="K1806" s="5">
        <v>45611</v>
      </c>
      <c r="L1806" s="1" t="s">
        <v>20</v>
      </c>
      <c r="M1806" s="1" t="s">
        <v>22</v>
      </c>
      <c r="N1806" s="5">
        <v>45611</v>
      </c>
    </row>
    <row r="1807" spans="1:14" x14ac:dyDescent="0.3">
      <c r="A1807" s="1" t="str">
        <f>"1_709-11/2024/Г"</f>
        <v>1_709-11/2024/Г</v>
      </c>
      <c r="B1807" s="6">
        <v>45611</v>
      </c>
      <c r="C1807" s="1" t="str">
        <f t="shared" si="249"/>
        <v>00038</v>
      </c>
      <c r="D1807" s="2" t="str">
        <f t="shared" si="250"/>
        <v>Видача довідки про реєстрацію місця проживання або місця перебування особи</v>
      </c>
      <c r="E1807" s="1" t="s">
        <v>20</v>
      </c>
      <c r="F1807" s="1" t="str">
        <f t="shared" si="246"/>
        <v>Центр надання адміністративних послуг Рогатинської міської ради</v>
      </c>
      <c r="G1807" s="1" t="str">
        <f t="shared" si="248"/>
        <v>Фізична особа</v>
      </c>
      <c r="H1807" s="1" t="s">
        <v>20</v>
      </c>
      <c r="I1807" s="1" t="s">
        <v>20</v>
      </c>
      <c r="J1807" s="1" t="str">
        <f t="shared" si="247"/>
        <v>Закрито</v>
      </c>
      <c r="K1807" s="5">
        <v>45611</v>
      </c>
      <c r="L1807" s="1" t="s">
        <v>20</v>
      </c>
      <c r="M1807" s="1" t="s">
        <v>22</v>
      </c>
      <c r="N1807" s="5">
        <v>45611</v>
      </c>
    </row>
    <row r="1808" spans="1:14" x14ac:dyDescent="0.3">
      <c r="A1808" s="1" t="str">
        <f>"1_5868/2129-11/2024/П"</f>
        <v>1_5868/2129-11/2024/П</v>
      </c>
      <c r="B1808" s="6">
        <v>45614</v>
      </c>
      <c r="C1808" s="1" t="str">
        <f t="shared" si="249"/>
        <v>00038</v>
      </c>
      <c r="D1808" s="2" t="str">
        <f t="shared" si="250"/>
        <v>Видача довідки про реєстрацію місця проживання або місця перебування особи</v>
      </c>
      <c r="E1808" s="1" t="s">
        <v>20</v>
      </c>
      <c r="F1808" s="1" t="str">
        <f t="shared" si="246"/>
        <v>Центр надання адміністративних послуг Рогатинської міської ради</v>
      </c>
      <c r="G1808" s="1" t="str">
        <f t="shared" si="248"/>
        <v>Фізична особа</v>
      </c>
      <c r="H1808" s="1" t="s">
        <v>20</v>
      </c>
      <c r="I1808" s="1" t="s">
        <v>20</v>
      </c>
      <c r="J1808" s="1" t="str">
        <f t="shared" si="247"/>
        <v>Закрито</v>
      </c>
      <c r="K1808" s="5">
        <v>45614</v>
      </c>
      <c r="L1808" s="1" t="s">
        <v>20</v>
      </c>
      <c r="M1808" s="1" t="s">
        <v>22</v>
      </c>
      <c r="N1808" s="5">
        <v>45614</v>
      </c>
    </row>
    <row r="1809" spans="1:14" x14ac:dyDescent="0.3">
      <c r="A1809" s="1" t="str">
        <f>"1_5869/2129-11/2024/П"</f>
        <v>1_5869/2129-11/2024/П</v>
      </c>
      <c r="B1809" s="6">
        <v>45614</v>
      </c>
      <c r="C1809" s="1" t="str">
        <f t="shared" si="249"/>
        <v>00038</v>
      </c>
      <c r="D1809" s="2" t="str">
        <f t="shared" si="250"/>
        <v>Видача довідки про реєстрацію місця проживання або місця перебування особи</v>
      </c>
      <c r="E1809" s="1" t="s">
        <v>20</v>
      </c>
      <c r="F1809" s="1" t="str">
        <f t="shared" si="246"/>
        <v>Центр надання адміністративних послуг Рогатинської міської ради</v>
      </c>
      <c r="G1809" s="1" t="str">
        <f t="shared" si="248"/>
        <v>Фізична особа</v>
      </c>
      <c r="H1809" s="1" t="s">
        <v>20</v>
      </c>
      <c r="I1809" s="1" t="s">
        <v>20</v>
      </c>
      <c r="J1809" s="1" t="str">
        <f t="shared" si="247"/>
        <v>Закрито</v>
      </c>
      <c r="K1809" s="5">
        <v>45614</v>
      </c>
      <c r="L1809" s="1" t="s">
        <v>20</v>
      </c>
      <c r="M1809" s="1" t="s">
        <v>22</v>
      </c>
      <c r="N1809" s="5">
        <v>45614</v>
      </c>
    </row>
    <row r="1810" spans="1:14" x14ac:dyDescent="0.3">
      <c r="A1810" s="1" t="str">
        <f>"1_5870/2129-11/2024/П"</f>
        <v>1_5870/2129-11/2024/П</v>
      </c>
      <c r="B1810" s="6">
        <v>45614</v>
      </c>
      <c r="C1810" s="1" t="str">
        <f>"01217"</f>
        <v>01217</v>
      </c>
      <c r="D1810" s="2" t="str">
        <f>"Реєстрація місця проживання дитини до 14 років"</f>
        <v>Реєстрація місця проживання дитини до 14 років</v>
      </c>
      <c r="E1810" s="1" t="s">
        <v>20</v>
      </c>
      <c r="F1810" s="1" t="str">
        <f t="shared" si="246"/>
        <v>Центр надання адміністративних послуг Рогатинської міської ради</v>
      </c>
      <c r="G1810" s="1" t="str">
        <f t="shared" si="248"/>
        <v>Фізична особа</v>
      </c>
      <c r="H1810" s="1" t="s">
        <v>20</v>
      </c>
      <c r="I1810" s="1" t="s">
        <v>20</v>
      </c>
      <c r="J1810" s="1" t="str">
        <f t="shared" si="247"/>
        <v>Закрито</v>
      </c>
      <c r="K1810" s="5">
        <v>45614</v>
      </c>
      <c r="L1810" s="1" t="str">
        <f>"45.42"</f>
        <v>45.42</v>
      </c>
      <c r="M1810" s="1" t="s">
        <v>22</v>
      </c>
      <c r="N1810" s="5">
        <v>45615</v>
      </c>
    </row>
    <row r="1811" spans="1:14" x14ac:dyDescent="0.3">
      <c r="A1811" s="1" t="str">
        <f>"1_5871/2129-11/2024/П"</f>
        <v>1_5871/2129-11/2024/П</v>
      </c>
      <c r="B1811" s="6">
        <v>45614</v>
      </c>
      <c r="C1811" s="1" t="str">
        <f>"00038"</f>
        <v>00038</v>
      </c>
      <c r="D181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11" s="1" t="s">
        <v>20</v>
      </c>
      <c r="F1811" s="1" t="str">
        <f t="shared" si="246"/>
        <v>Центр надання адміністративних послуг Рогатинської міської ради</v>
      </c>
      <c r="G1811" s="1" t="str">
        <f t="shared" si="248"/>
        <v>Фізична особа</v>
      </c>
      <c r="H1811" s="1" t="s">
        <v>20</v>
      </c>
      <c r="I1811" s="1" t="s">
        <v>20</v>
      </c>
      <c r="J1811" s="1" t="str">
        <f t="shared" si="247"/>
        <v>Закрито</v>
      </c>
      <c r="K1811" s="5">
        <v>45614</v>
      </c>
      <c r="L1811" s="1" t="s">
        <v>20</v>
      </c>
      <c r="M1811" s="1" t="s">
        <v>22</v>
      </c>
      <c r="N1811" s="5">
        <v>45614</v>
      </c>
    </row>
    <row r="1812" spans="1:14" x14ac:dyDescent="0.3">
      <c r="A1812" s="1" t="str">
        <f>"1_5872/2129-11/2024/Д"</f>
        <v>1_5872/2129-11/2024/Д</v>
      </c>
      <c r="B1812" s="6">
        <v>45614</v>
      </c>
      <c r="C1812" s="1" t="str">
        <f>"33"</f>
        <v>33</v>
      </c>
      <c r="D1812" s="2" t="str">
        <f>"33 Довідки різного характеру"</f>
        <v>33 Довідки різного характеру</v>
      </c>
      <c r="E1812" s="1" t="s">
        <v>20</v>
      </c>
      <c r="F1812" s="1" t="str">
        <f t="shared" si="246"/>
        <v>Центр надання адміністративних послуг Рогатинської міської ради</v>
      </c>
      <c r="G1812" s="1" t="str">
        <f t="shared" si="248"/>
        <v>Фізична особа</v>
      </c>
      <c r="H1812" s="1" t="s">
        <v>20</v>
      </c>
      <c r="I1812" s="1" t="s">
        <v>20</v>
      </c>
      <c r="J1812" s="1" t="str">
        <f t="shared" si="247"/>
        <v>Закрито</v>
      </c>
      <c r="K1812" s="5">
        <v>45614</v>
      </c>
      <c r="L1812" s="1" t="s">
        <v>20</v>
      </c>
      <c r="M1812" s="1" t="s">
        <v>22</v>
      </c>
      <c r="N1812" s="5">
        <v>45614</v>
      </c>
    </row>
    <row r="1813" spans="1:14" x14ac:dyDescent="0.3">
      <c r="A1813" s="1" t="str">
        <f>"16_685-11/2024/Г"</f>
        <v>16_685-11/2024/Г</v>
      </c>
      <c r="B1813" s="6">
        <v>45614</v>
      </c>
      <c r="C1813" s="1" t="str">
        <f>"00037"</f>
        <v>00037</v>
      </c>
      <c r="D1813" s="2" t="str">
        <f>"Зняття з реєстрації місця проживання"</f>
        <v>Зняття з реєстрації місця проживання</v>
      </c>
      <c r="E1813" s="1" t="s">
        <v>20</v>
      </c>
      <c r="F1813" s="1" t="str">
        <f t="shared" si="246"/>
        <v>Центр надання адміністративних послуг Рогатинської міської ради</v>
      </c>
      <c r="G1813" s="1" t="str">
        <f t="shared" si="248"/>
        <v>Фізична особа</v>
      </c>
      <c r="H1813" s="1" t="s">
        <v>20</v>
      </c>
      <c r="I1813" s="1" t="s">
        <v>20</v>
      </c>
      <c r="J1813" s="1" t="str">
        <f t="shared" si="247"/>
        <v>Закрито</v>
      </c>
      <c r="K1813" s="5">
        <v>45614</v>
      </c>
      <c r="L1813" s="1" t="s">
        <v>20</v>
      </c>
      <c r="M1813" s="1" t="s">
        <v>22</v>
      </c>
      <c r="N1813" s="5">
        <v>45614</v>
      </c>
    </row>
    <row r="1814" spans="1:14" x14ac:dyDescent="0.3">
      <c r="A1814" s="1" t="str">
        <f>"3_857-11/2024/Д"</f>
        <v>3_857-11/2024/Д</v>
      </c>
      <c r="B1814" s="6">
        <v>45614</v>
      </c>
      <c r="C1814" s="1" t="str">
        <f>"00038"</f>
        <v>00038</v>
      </c>
      <c r="D181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14" s="1" t="s">
        <v>20</v>
      </c>
      <c r="F1814" s="1" t="str">
        <f t="shared" si="246"/>
        <v>Центр надання адміністративних послуг Рогатинської міської ради</v>
      </c>
      <c r="G1814" s="1" t="str">
        <f t="shared" si="248"/>
        <v>Фізична особа</v>
      </c>
      <c r="H1814" s="1" t="s">
        <v>20</v>
      </c>
      <c r="I1814" s="1" t="s">
        <v>20</v>
      </c>
      <c r="J1814" s="1" t="str">
        <f t="shared" si="247"/>
        <v>Закрито</v>
      </c>
      <c r="K1814" s="5">
        <v>45614</v>
      </c>
      <c r="L1814" s="1" t="s">
        <v>20</v>
      </c>
      <c r="M1814" s="1" t="s">
        <v>22</v>
      </c>
      <c r="N1814" s="5">
        <v>45614</v>
      </c>
    </row>
    <row r="1815" spans="1:14" x14ac:dyDescent="0.3">
      <c r="A1815" s="1" t="str">
        <f>"16_686-11/2024/Г"</f>
        <v>16_686-11/2024/Г</v>
      </c>
      <c r="B1815" s="6">
        <v>45614</v>
      </c>
      <c r="C1815" s="1" t="str">
        <f>"33"</f>
        <v>33</v>
      </c>
      <c r="D1815" s="2" t="str">
        <f>"33 Довідки різного характеру"</f>
        <v>33 Довідки різного характеру</v>
      </c>
      <c r="E1815" s="1" t="s">
        <v>20</v>
      </c>
      <c r="F1815" s="1" t="str">
        <f t="shared" si="246"/>
        <v>Центр надання адміністративних послуг Рогатинської міської ради</v>
      </c>
      <c r="G1815" s="1" t="str">
        <f t="shared" si="248"/>
        <v>Фізична особа</v>
      </c>
      <c r="H1815" s="1" t="s">
        <v>20</v>
      </c>
      <c r="I1815" s="1" t="s">
        <v>20</v>
      </c>
      <c r="J1815" s="1" t="str">
        <f t="shared" si="247"/>
        <v>Закрито</v>
      </c>
      <c r="K1815" s="5">
        <v>45614</v>
      </c>
      <c r="L1815" s="1" t="s">
        <v>20</v>
      </c>
      <c r="M1815" s="1" t="s">
        <v>22</v>
      </c>
      <c r="N1815" s="5">
        <v>45614</v>
      </c>
    </row>
    <row r="1816" spans="1:14" x14ac:dyDescent="0.3">
      <c r="A1816" s="1" t="str">
        <f>"3_858-11/2024/Д"</f>
        <v>3_858-11/2024/Д</v>
      </c>
      <c r="B1816" s="6">
        <v>45614</v>
      </c>
      <c r="C1816" s="1" t="str">
        <f>"00038"</f>
        <v>00038</v>
      </c>
      <c r="D181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16" s="1" t="s">
        <v>20</v>
      </c>
      <c r="F1816" s="1" t="str">
        <f t="shared" si="246"/>
        <v>Центр надання адміністративних послуг Рогатинської міської ради</v>
      </c>
      <c r="G1816" s="1" t="str">
        <f t="shared" si="248"/>
        <v>Фізична особа</v>
      </c>
      <c r="H1816" s="1" t="s">
        <v>20</v>
      </c>
      <c r="I1816" s="1" t="s">
        <v>20</v>
      </c>
      <c r="J1816" s="1" t="str">
        <f t="shared" si="247"/>
        <v>Закрито</v>
      </c>
      <c r="K1816" s="5">
        <v>45614</v>
      </c>
      <c r="L1816" s="1" t="s">
        <v>20</v>
      </c>
      <c r="M1816" s="1" t="s">
        <v>22</v>
      </c>
      <c r="N1816" s="5">
        <v>45614</v>
      </c>
    </row>
    <row r="1817" spans="1:14" x14ac:dyDescent="0.3">
      <c r="A1817" s="1" t="str">
        <f>"5_483-11/2024/Л"</f>
        <v>5_483-11/2024/Л</v>
      </c>
      <c r="B1817" s="6">
        <v>45614</v>
      </c>
      <c r="C1817" s="1" t="str">
        <f>"00038"</f>
        <v>00038</v>
      </c>
      <c r="D181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17" s="1" t="s">
        <v>20</v>
      </c>
      <c r="F1817" s="1" t="str">
        <f t="shared" si="246"/>
        <v>Центр надання адміністративних послуг Рогатинської міської ради</v>
      </c>
      <c r="G1817" s="1" t="str">
        <f t="shared" si="248"/>
        <v>Фізична особа</v>
      </c>
      <c r="H1817" s="1" t="s">
        <v>20</v>
      </c>
      <c r="I1817" s="1" t="s">
        <v>20</v>
      </c>
      <c r="J1817" s="1" t="str">
        <f t="shared" si="247"/>
        <v>Закрито</v>
      </c>
      <c r="K1817" s="5">
        <v>45614</v>
      </c>
      <c r="L1817" s="1" t="s">
        <v>20</v>
      </c>
      <c r="M1817" s="1" t="s">
        <v>22</v>
      </c>
      <c r="N1817" s="5">
        <v>45614</v>
      </c>
    </row>
    <row r="1818" spans="1:14" x14ac:dyDescent="0.3">
      <c r="A1818" s="1" t="str">
        <f>"3_859-11/2024/Д"</f>
        <v>3_859-11/2024/Д</v>
      </c>
      <c r="B1818" s="6">
        <v>45614</v>
      </c>
      <c r="C1818" s="1" t="str">
        <f>"00038"</f>
        <v>00038</v>
      </c>
      <c r="D181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18" s="1" t="s">
        <v>20</v>
      </c>
      <c r="F1818" s="1" t="str">
        <f t="shared" si="246"/>
        <v>Центр надання адміністративних послуг Рогатинської міської ради</v>
      </c>
      <c r="G1818" s="1" t="str">
        <f t="shared" si="248"/>
        <v>Фізична особа</v>
      </c>
      <c r="H1818" s="1" t="s">
        <v>20</v>
      </c>
      <c r="I1818" s="1" t="s">
        <v>20</v>
      </c>
      <c r="J1818" s="1" t="str">
        <f t="shared" si="247"/>
        <v>Закрито</v>
      </c>
      <c r="K1818" s="5">
        <v>45614</v>
      </c>
      <c r="L1818" s="1" t="s">
        <v>20</v>
      </c>
      <c r="M1818" s="1" t="s">
        <v>22</v>
      </c>
      <c r="N1818" s="5">
        <v>45614</v>
      </c>
    </row>
    <row r="1819" spans="1:14" x14ac:dyDescent="0.3">
      <c r="A1819" s="1" t="str">
        <f>"5_484-11/2024/Л"</f>
        <v>5_484-11/2024/Л</v>
      </c>
      <c r="B1819" s="6">
        <v>45614</v>
      </c>
      <c r="C1819" s="1" t="str">
        <f>"00155"</f>
        <v>00155</v>
      </c>
      <c r="D1819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819" s="1" t="str">
        <f>"03193413"</f>
        <v>03193413</v>
      </c>
      <c r="F181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19" s="1" t="str">
        <f t="shared" si="248"/>
        <v>Фізична особа</v>
      </c>
      <c r="H1819" s="1" t="s">
        <v>20</v>
      </c>
      <c r="I1819" s="1" t="s">
        <v>20</v>
      </c>
      <c r="J1819" s="1" t="str">
        <f t="shared" si="247"/>
        <v>Закрито</v>
      </c>
      <c r="K1819" s="5">
        <v>45621</v>
      </c>
      <c r="L1819" s="1" t="s">
        <v>20</v>
      </c>
      <c r="M1819" s="1" t="s">
        <v>22</v>
      </c>
      <c r="N1819" s="5">
        <v>45621</v>
      </c>
    </row>
    <row r="1820" spans="1:14" x14ac:dyDescent="0.3">
      <c r="A1820" s="1" t="str">
        <f>"1_5873/2129-11/2024/Р"</f>
        <v>1_5873/2129-11/2024/Р</v>
      </c>
      <c r="B1820" s="6">
        <v>45614</v>
      </c>
      <c r="C1820" s="1" t="str">
        <f>"00038"</f>
        <v>00038</v>
      </c>
      <c r="D182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20" s="1" t="s">
        <v>20</v>
      </c>
      <c r="F182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20" s="1" t="str">
        <f t="shared" si="248"/>
        <v>Фізична особа</v>
      </c>
      <c r="H1820" s="1" t="s">
        <v>20</v>
      </c>
      <c r="I1820" s="1" t="s">
        <v>20</v>
      </c>
      <c r="J1820" s="1" t="str">
        <f t="shared" si="247"/>
        <v>Закрито</v>
      </c>
      <c r="K1820" s="5">
        <v>45614</v>
      </c>
      <c r="L1820" s="1" t="s">
        <v>20</v>
      </c>
      <c r="M1820" s="1" t="s">
        <v>22</v>
      </c>
      <c r="N1820" s="5">
        <v>45614</v>
      </c>
    </row>
    <row r="1821" spans="1:14" x14ac:dyDescent="0.3">
      <c r="A1821" s="1" t="str">
        <f>"8_544-11/2024/С"</f>
        <v>8_544-11/2024/С</v>
      </c>
      <c r="B1821" s="6">
        <v>45614</v>
      </c>
      <c r="C1821" s="1" t="str">
        <f>"00133"</f>
        <v>00133</v>
      </c>
      <c r="D1821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821" s="1" t="str">
        <f>"03193413"</f>
        <v>03193413</v>
      </c>
      <c r="F182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21" s="1" t="str">
        <f t="shared" si="248"/>
        <v>Фізична особа</v>
      </c>
      <c r="H1821" s="1" t="s">
        <v>20</v>
      </c>
      <c r="I1821" s="1" t="s">
        <v>20</v>
      </c>
      <c r="J1821" s="1" t="str">
        <f t="shared" si="247"/>
        <v>Закрито</v>
      </c>
      <c r="K1821" s="5">
        <v>45629</v>
      </c>
      <c r="L1821" s="1" t="s">
        <v>20</v>
      </c>
      <c r="M1821" s="1" t="s">
        <v>22</v>
      </c>
      <c r="N1821" s="5">
        <v>45629</v>
      </c>
    </row>
    <row r="1822" spans="1:14" x14ac:dyDescent="0.3">
      <c r="A1822" s="1" t="str">
        <f>"28_654-11/2024/В"</f>
        <v>28_654-11/2024/В</v>
      </c>
      <c r="B1822" s="6">
        <v>45614</v>
      </c>
      <c r="C1822" s="1" t="str">
        <f>"00038"</f>
        <v>00038</v>
      </c>
      <c r="D182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22" s="1" t="s">
        <v>20</v>
      </c>
      <c r="F182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22" s="1" t="str">
        <f t="shared" si="248"/>
        <v>Фізична особа</v>
      </c>
      <c r="H1822" s="1" t="s">
        <v>20</v>
      </c>
      <c r="I1822" s="1" t="s">
        <v>20</v>
      </c>
      <c r="J1822" s="1" t="str">
        <f t="shared" si="247"/>
        <v>Закрито</v>
      </c>
      <c r="K1822" s="5">
        <v>45614</v>
      </c>
      <c r="L1822" s="1" t="s">
        <v>20</v>
      </c>
      <c r="M1822" s="1" t="s">
        <v>22</v>
      </c>
      <c r="N1822" s="5">
        <v>45614</v>
      </c>
    </row>
    <row r="1823" spans="1:14" x14ac:dyDescent="0.3">
      <c r="A1823" s="1" t="str">
        <f>"8_545-11/2024/С"</f>
        <v>8_545-11/2024/С</v>
      </c>
      <c r="B1823" s="6">
        <v>45614</v>
      </c>
      <c r="C1823" s="1" t="str">
        <f>"33"</f>
        <v>33</v>
      </c>
      <c r="D1823" s="2" t="str">
        <f>"33 Довідки різного характеру"</f>
        <v>33 Довідки різного характеру</v>
      </c>
      <c r="E1823" s="1" t="s">
        <v>20</v>
      </c>
      <c r="F18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23" s="1" t="str">
        <f t="shared" si="248"/>
        <v>Фізична особа</v>
      </c>
      <c r="H1823" s="1" t="s">
        <v>20</v>
      </c>
      <c r="I1823" s="1" t="s">
        <v>20</v>
      </c>
      <c r="J1823" s="1" t="str">
        <f t="shared" si="247"/>
        <v>Закрито</v>
      </c>
      <c r="K1823" s="5">
        <v>45614</v>
      </c>
      <c r="L1823" s="1" t="s">
        <v>20</v>
      </c>
      <c r="M1823" s="1" t="s">
        <v>22</v>
      </c>
      <c r="N1823" s="5">
        <v>45614</v>
      </c>
    </row>
    <row r="1824" spans="1:14" x14ac:dyDescent="0.3">
      <c r="A1824" s="1" t="str">
        <f>"8_546-11/2024/П"</f>
        <v>8_546-11/2024/П</v>
      </c>
      <c r="B1824" s="6">
        <v>45614</v>
      </c>
      <c r="C1824" s="1" t="str">
        <f>"00038"</f>
        <v>00038</v>
      </c>
      <c r="D182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24" s="1" t="s">
        <v>20</v>
      </c>
      <c r="F18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24" s="1" t="str">
        <f t="shared" si="248"/>
        <v>Фізична особа</v>
      </c>
      <c r="H1824" s="1" t="s">
        <v>20</v>
      </c>
      <c r="I1824" s="1" t="s">
        <v>20</v>
      </c>
      <c r="J1824" s="1" t="str">
        <f t="shared" si="247"/>
        <v>Закрито</v>
      </c>
      <c r="K1824" s="5">
        <v>45614</v>
      </c>
      <c r="L1824" s="1" t="s">
        <v>20</v>
      </c>
      <c r="M1824" s="1" t="s">
        <v>22</v>
      </c>
      <c r="N1824" s="5">
        <v>45614</v>
      </c>
    </row>
    <row r="1825" spans="1:14" x14ac:dyDescent="0.3">
      <c r="A1825" s="1" t="str">
        <f>"6_352/2129-11/2024/К"</f>
        <v>6_352/2129-11/2024/К</v>
      </c>
      <c r="B1825" s="6">
        <v>45614</v>
      </c>
      <c r="C1825" s="1" t="str">
        <f>"01376"</f>
        <v>01376</v>
      </c>
      <c r="D1825" s="2" t="str">
        <f>"Реєстрація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(СС1)"</f>
        <v>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</v>
      </c>
      <c r="E1825" s="1" t="s">
        <v>20</v>
      </c>
      <c r="F182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25" s="1" t="str">
        <f t="shared" si="248"/>
        <v>Фізична особа</v>
      </c>
      <c r="H1825" s="1" t="s">
        <v>20</v>
      </c>
      <c r="I1825" s="1" t="s">
        <v>20</v>
      </c>
      <c r="J1825" s="1" t="str">
        <f t="shared" si="247"/>
        <v>Закрито</v>
      </c>
      <c r="K1825" s="5">
        <v>45615</v>
      </c>
      <c r="L1825" s="1" t="s">
        <v>20</v>
      </c>
      <c r="M1825" s="1" t="s">
        <v>22</v>
      </c>
      <c r="N1825" s="5">
        <v>45615</v>
      </c>
    </row>
    <row r="1826" spans="1:14" x14ac:dyDescent="0.3">
      <c r="A1826" s="1" t="str">
        <f>"1_5874/2129-11/2024/В"</f>
        <v>1_5874/2129-11/2024/В</v>
      </c>
      <c r="B1826" s="6">
        <v>45614</v>
      </c>
      <c r="C1826" s="1" t="str">
        <f>"00038"</f>
        <v>00038</v>
      </c>
      <c r="D182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26" s="1" t="s">
        <v>20</v>
      </c>
      <c r="F182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26" s="1" t="str">
        <f t="shared" si="248"/>
        <v>Фізична особа</v>
      </c>
      <c r="H1826" s="1" t="s">
        <v>20</v>
      </c>
      <c r="I1826" s="1" t="s">
        <v>20</v>
      </c>
      <c r="J1826" s="1" t="str">
        <f t="shared" si="247"/>
        <v>Закрито</v>
      </c>
      <c r="K1826" s="5">
        <v>45614</v>
      </c>
      <c r="L1826" s="1" t="s">
        <v>20</v>
      </c>
      <c r="M1826" s="1" t="s">
        <v>22</v>
      </c>
      <c r="N1826" s="5">
        <v>45614</v>
      </c>
    </row>
    <row r="1827" spans="1:14" x14ac:dyDescent="0.3">
      <c r="A1827" s="1" t="str">
        <f>"9_1669/04054323-11/2024/К"</f>
        <v>9_1669/04054323-11/2024/К</v>
      </c>
      <c r="B1827" s="6">
        <v>45614</v>
      </c>
      <c r="C1827" s="1" t="str">
        <f>"011"</f>
        <v>011</v>
      </c>
      <c r="D1827" s="2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1827" s="1" t="str">
        <f>"04054323"</f>
        <v>04054323</v>
      </c>
      <c r="F1827" s="1" t="str">
        <f>"Рогатинська міська рада"</f>
        <v>Рогатинська міська рада</v>
      </c>
      <c r="G1827" s="1" t="str">
        <f t="shared" si="248"/>
        <v>Фізична особа</v>
      </c>
      <c r="H1827" s="1" t="s">
        <v>20</v>
      </c>
      <c r="I1827" s="1" t="s">
        <v>20</v>
      </c>
      <c r="J1827" s="1" t="str">
        <f>"На обробці в СНАП"</f>
        <v>На обробці в СНАП</v>
      </c>
      <c r="K1827" s="1" t="s">
        <v>20</v>
      </c>
      <c r="L1827" s="1" t="s">
        <v>20</v>
      </c>
      <c r="M1827" s="1" t="s">
        <v>22</v>
      </c>
      <c r="N1827" s="1" t="s">
        <v>20</v>
      </c>
    </row>
    <row r="1828" spans="1:14" x14ac:dyDescent="0.3">
      <c r="A1828" s="1" t="str">
        <f>"14_997-11/2024/Ч"</f>
        <v>14_997-11/2024/Ч</v>
      </c>
      <c r="B1828" s="6">
        <v>45614</v>
      </c>
      <c r="C1828" s="1" t="str">
        <f>"00038"</f>
        <v>00038</v>
      </c>
      <c r="D182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28" s="1" t="s">
        <v>20</v>
      </c>
      <c r="F18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28" s="1" t="str">
        <f t="shared" si="248"/>
        <v>Фізична особа</v>
      </c>
      <c r="H1828" s="1" t="s">
        <v>20</v>
      </c>
      <c r="I1828" s="1" t="s">
        <v>20</v>
      </c>
      <c r="J1828" s="1" t="str">
        <f>"Закрито"</f>
        <v>Закрито</v>
      </c>
      <c r="K1828" s="5">
        <v>45614</v>
      </c>
      <c r="L1828" s="1" t="s">
        <v>20</v>
      </c>
      <c r="M1828" s="1" t="s">
        <v>22</v>
      </c>
      <c r="N1828" s="5">
        <v>45614</v>
      </c>
    </row>
    <row r="1829" spans="1:14" x14ac:dyDescent="0.3">
      <c r="A1829" s="1" t="str">
        <f>"14_998-11/2024/Ч"</f>
        <v>14_998-11/2024/Ч</v>
      </c>
      <c r="B1829" s="6">
        <v>45614</v>
      </c>
      <c r="C1829" s="1" t="str">
        <f>"00155"</f>
        <v>00155</v>
      </c>
      <c r="D1829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829" s="1" t="str">
        <f>"03193413"</f>
        <v>03193413</v>
      </c>
      <c r="F182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29" s="1" t="str">
        <f t="shared" si="248"/>
        <v>Фізична особа</v>
      </c>
      <c r="H1829" s="1" t="s">
        <v>20</v>
      </c>
      <c r="I1829" s="1" t="s">
        <v>20</v>
      </c>
      <c r="J1829" s="1" t="str">
        <f>"На обробці в СНАП"</f>
        <v>На обробці в СНАП</v>
      </c>
      <c r="K1829" s="1" t="s">
        <v>20</v>
      </c>
      <c r="L1829" s="1" t="s">
        <v>20</v>
      </c>
      <c r="M1829" s="1" t="s">
        <v>22</v>
      </c>
      <c r="N1829" s="1" t="s">
        <v>20</v>
      </c>
    </row>
    <row r="1830" spans="1:14" x14ac:dyDescent="0.3">
      <c r="A1830" s="1" t="str">
        <f>"22_548-11/2024/З"</f>
        <v>22_548-11/2024/З</v>
      </c>
      <c r="B1830" s="6">
        <v>45614</v>
      </c>
      <c r="C1830" s="1" t="str">
        <f>"00038"</f>
        <v>00038</v>
      </c>
      <c r="D183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30" s="1" t="s">
        <v>20</v>
      </c>
      <c r="F18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30" s="1" t="str">
        <f t="shared" si="248"/>
        <v>Фізична особа</v>
      </c>
      <c r="H1830" s="1" t="s">
        <v>20</v>
      </c>
      <c r="I1830" s="1" t="s">
        <v>20</v>
      </c>
      <c r="J1830" s="1" t="str">
        <f>"Закрито"</f>
        <v>Закрито</v>
      </c>
      <c r="K1830" s="5">
        <v>45614</v>
      </c>
      <c r="L1830" s="1" t="s">
        <v>20</v>
      </c>
      <c r="M1830" s="1" t="s">
        <v>22</v>
      </c>
      <c r="N1830" s="5">
        <v>45614</v>
      </c>
    </row>
    <row r="1831" spans="1:14" x14ac:dyDescent="0.3">
      <c r="A1831" s="1" t="str">
        <f>"22_549-11/2024/З"</f>
        <v>22_549-11/2024/З</v>
      </c>
      <c r="B1831" s="6">
        <v>45614</v>
      </c>
      <c r="C1831" s="1" t="str">
        <f>"00038"</f>
        <v>00038</v>
      </c>
      <c r="D183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31" s="1" t="s">
        <v>20</v>
      </c>
      <c r="F18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31" s="1" t="str">
        <f t="shared" si="248"/>
        <v>Фізична особа</v>
      </c>
      <c r="H1831" s="1" t="s">
        <v>20</v>
      </c>
      <c r="I1831" s="1" t="s">
        <v>20</v>
      </c>
      <c r="J1831" s="1" t="str">
        <f>"Закрито"</f>
        <v>Закрито</v>
      </c>
      <c r="K1831" s="5">
        <v>45614</v>
      </c>
      <c r="L1831" s="1" t="s">
        <v>20</v>
      </c>
      <c r="M1831" s="1" t="s">
        <v>22</v>
      </c>
      <c r="N1831" s="5">
        <v>45614</v>
      </c>
    </row>
    <row r="1832" spans="1:14" x14ac:dyDescent="0.3">
      <c r="A1832" s="1" t="str">
        <f>"25_435-11/2024/Б"</f>
        <v>25_435-11/2024/Б</v>
      </c>
      <c r="B1832" s="6">
        <v>45614</v>
      </c>
      <c r="C1832" s="1" t="str">
        <f>"00038"</f>
        <v>00038</v>
      </c>
      <c r="D183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32" s="1" t="s">
        <v>20</v>
      </c>
      <c r="F18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32" s="1" t="str">
        <f t="shared" si="248"/>
        <v>Фізична особа</v>
      </c>
      <c r="H1832" s="1" t="s">
        <v>20</v>
      </c>
      <c r="I1832" s="1" t="s">
        <v>20</v>
      </c>
      <c r="J1832" s="1" t="str">
        <f>"Закрито"</f>
        <v>Закрито</v>
      </c>
      <c r="K1832" s="5">
        <v>45614</v>
      </c>
      <c r="L1832" s="1" t="s">
        <v>20</v>
      </c>
      <c r="M1832" s="1" t="s">
        <v>22</v>
      </c>
      <c r="N1832" s="5">
        <v>45614</v>
      </c>
    </row>
    <row r="1833" spans="1:14" x14ac:dyDescent="0.3">
      <c r="A1833" s="1" t="str">
        <f>"25_436-11/2024/І"</f>
        <v>25_436-11/2024/І</v>
      </c>
      <c r="B1833" s="6">
        <v>45614</v>
      </c>
      <c r="C1833" s="1" t="str">
        <f>"00038"</f>
        <v>00038</v>
      </c>
      <c r="D183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33" s="1" t="s">
        <v>20</v>
      </c>
      <c r="F183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33" s="1" t="str">
        <f t="shared" si="248"/>
        <v>Фізична особа</v>
      </c>
      <c r="H1833" s="1" t="s">
        <v>20</v>
      </c>
      <c r="I1833" s="1" t="s">
        <v>20</v>
      </c>
      <c r="J1833" s="1" t="str">
        <f>"Закрито"</f>
        <v>Закрито</v>
      </c>
      <c r="K1833" s="5">
        <v>45614</v>
      </c>
      <c r="L1833" s="1" t="s">
        <v>20</v>
      </c>
      <c r="M1833" s="1" t="s">
        <v>22</v>
      </c>
      <c r="N1833" s="5">
        <v>45614</v>
      </c>
    </row>
    <row r="1834" spans="1:14" x14ac:dyDescent="0.3">
      <c r="A1834" s="1" t="str">
        <f>"3_1371/4-11/2024/З"</f>
        <v>3_1371/4-11/2024/З</v>
      </c>
      <c r="B1834" s="6">
        <v>45614</v>
      </c>
      <c r="C1834" s="1" t="str">
        <f>"00060"</f>
        <v>00060</v>
      </c>
      <c r="D1834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834" s="1" t="s">
        <v>20</v>
      </c>
      <c r="F1834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834" s="1" t="str">
        <f t="shared" si="248"/>
        <v>Фізична особа</v>
      </c>
      <c r="H1834" s="1" t="s">
        <v>20</v>
      </c>
      <c r="I1834" s="1" t="s">
        <v>20</v>
      </c>
      <c r="J1834" s="1" t="str">
        <f>"Результат підготовлено СНАП"</f>
        <v>Результат підготовлено СНАП</v>
      </c>
      <c r="K1834" s="5">
        <v>45614</v>
      </c>
      <c r="L1834" s="1" t="str">
        <f>"151.4"</f>
        <v>151.4</v>
      </c>
      <c r="M1834" s="1" t="s">
        <v>22</v>
      </c>
      <c r="N1834" s="1" t="s">
        <v>20</v>
      </c>
    </row>
    <row r="1835" spans="1:14" x14ac:dyDescent="0.3">
      <c r="A1835" s="1" t="str">
        <f>"3_1372/4-11/2024/З"</f>
        <v>3_1372/4-11/2024/З</v>
      </c>
      <c r="B1835" s="6">
        <v>45614</v>
      </c>
      <c r="C1835" s="1" t="str">
        <f>"00060"</f>
        <v>00060</v>
      </c>
      <c r="D1835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835" s="1" t="s">
        <v>20</v>
      </c>
      <c r="F1835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835" s="1" t="str">
        <f t="shared" si="248"/>
        <v>Фізична особа</v>
      </c>
      <c r="H1835" s="1" t="s">
        <v>20</v>
      </c>
      <c r="I1835" s="1" t="s">
        <v>20</v>
      </c>
      <c r="J1835" s="1" t="str">
        <f>"Результат підготовлено СНАП"</f>
        <v>Результат підготовлено СНАП</v>
      </c>
      <c r="K1835" s="5">
        <v>45614</v>
      </c>
      <c r="L1835" s="1" t="str">
        <f>"151.4"</f>
        <v>151.4</v>
      </c>
      <c r="M1835" s="1" t="s">
        <v>22</v>
      </c>
      <c r="N1835" s="1" t="s">
        <v>20</v>
      </c>
    </row>
    <row r="1836" spans="1:14" x14ac:dyDescent="0.3">
      <c r="A1836" s="1" t="str">
        <f>"30_621-11/2024/Ю"</f>
        <v>30_621-11/2024/Ю</v>
      </c>
      <c r="B1836" s="6">
        <v>45614</v>
      </c>
      <c r="C1836" s="1" t="str">
        <f>"00038"</f>
        <v>00038</v>
      </c>
      <c r="D183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36" s="1" t="s">
        <v>20</v>
      </c>
      <c r="F183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36" s="1" t="str">
        <f t="shared" si="248"/>
        <v>Фізична особа</v>
      </c>
      <c r="H1836" s="1" t="s">
        <v>20</v>
      </c>
      <c r="I1836" s="1" t="s">
        <v>20</v>
      </c>
      <c r="J1836" s="1" t="str">
        <f>"Закрито"</f>
        <v>Закрито</v>
      </c>
      <c r="K1836" s="5">
        <v>45614</v>
      </c>
      <c r="L1836" s="1" t="s">
        <v>20</v>
      </c>
      <c r="M1836" s="1" t="s">
        <v>22</v>
      </c>
      <c r="N1836" s="5">
        <v>45614</v>
      </c>
    </row>
    <row r="1837" spans="1:14" x14ac:dyDescent="0.3">
      <c r="A1837" s="1" t="str">
        <f>"3_1373/4-11/2024/З"</f>
        <v>3_1373/4-11/2024/З</v>
      </c>
      <c r="B1837" s="6">
        <v>45614</v>
      </c>
      <c r="C1837" s="1" t="str">
        <f>"00060"</f>
        <v>00060</v>
      </c>
      <c r="D1837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837" s="1" t="s">
        <v>20</v>
      </c>
      <c r="F1837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837" s="1" t="str">
        <f t="shared" si="248"/>
        <v>Фізична особа</v>
      </c>
      <c r="H1837" s="1" t="s">
        <v>20</v>
      </c>
      <c r="I1837" s="1" t="s">
        <v>20</v>
      </c>
      <c r="J1837" s="1" t="str">
        <f>"Результат підготовлено СНАП"</f>
        <v>Результат підготовлено СНАП</v>
      </c>
      <c r="K1837" s="5">
        <v>45614</v>
      </c>
      <c r="L1837" s="1" t="str">
        <f>"151.4"</f>
        <v>151.4</v>
      </c>
      <c r="M1837" s="1" t="s">
        <v>22</v>
      </c>
      <c r="N1837" s="1" t="s">
        <v>20</v>
      </c>
    </row>
    <row r="1838" spans="1:14" x14ac:dyDescent="0.3">
      <c r="A1838" s="1" t="str">
        <f>"30_622-11/2024/Ю"</f>
        <v>30_622-11/2024/Ю</v>
      </c>
      <c r="B1838" s="6">
        <v>45614</v>
      </c>
      <c r="C1838" s="1" t="str">
        <f>"00038"</f>
        <v>00038</v>
      </c>
      <c r="D183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38" s="1" t="s">
        <v>20</v>
      </c>
      <c r="F1838" s="1" t="str">
        <f t="shared" ref="F1838:F1847" si="25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38" s="1" t="str">
        <f t="shared" si="248"/>
        <v>Фізична особа</v>
      </c>
      <c r="H1838" s="1" t="s">
        <v>20</v>
      </c>
      <c r="I1838" s="1" t="s">
        <v>20</v>
      </c>
      <c r="J1838" s="1" t="str">
        <f t="shared" ref="J1838:J1847" si="252">"Закрито"</f>
        <v>Закрито</v>
      </c>
      <c r="K1838" s="5">
        <v>45614</v>
      </c>
      <c r="L1838" s="1" t="s">
        <v>20</v>
      </c>
      <c r="M1838" s="1" t="s">
        <v>22</v>
      </c>
      <c r="N1838" s="5">
        <v>45614</v>
      </c>
    </row>
    <row r="1839" spans="1:14" x14ac:dyDescent="0.3">
      <c r="A1839" s="1" t="str">
        <f>"3_860-11/2024/В"</f>
        <v>3_860-11/2024/В</v>
      </c>
      <c r="B1839" s="6">
        <v>45614</v>
      </c>
      <c r="C1839" s="1" t="str">
        <f>"00038"</f>
        <v>00038</v>
      </c>
      <c r="D183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39" s="1" t="s">
        <v>20</v>
      </c>
      <c r="F1839" s="1" t="str">
        <f t="shared" si="251"/>
        <v>Центр надання адміністративних послуг Рогатинської міської ради</v>
      </c>
      <c r="G1839" s="1" t="str">
        <f t="shared" si="248"/>
        <v>Фізична особа</v>
      </c>
      <c r="H1839" s="1" t="s">
        <v>20</v>
      </c>
      <c r="I1839" s="1" t="s">
        <v>20</v>
      </c>
      <c r="J1839" s="1" t="str">
        <f t="shared" si="252"/>
        <v>Закрито</v>
      </c>
      <c r="K1839" s="5">
        <v>45614</v>
      </c>
      <c r="L1839" s="1" t="s">
        <v>20</v>
      </c>
      <c r="M1839" s="1" t="s">
        <v>22</v>
      </c>
      <c r="N1839" s="5">
        <v>45614</v>
      </c>
    </row>
    <row r="1840" spans="1:14" x14ac:dyDescent="0.3">
      <c r="A1840" s="1" t="str">
        <f>"27_591-11/2024/В"</f>
        <v>27_591-11/2024/В</v>
      </c>
      <c r="B1840" s="6">
        <v>45614</v>
      </c>
      <c r="C1840" s="1" t="str">
        <f>"00038"</f>
        <v>00038</v>
      </c>
      <c r="D184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40" s="1" t="s">
        <v>20</v>
      </c>
      <c r="F1840" s="1" t="str">
        <f t="shared" si="251"/>
        <v>Центр надання адміністративних послуг Рогатинської міської ради</v>
      </c>
      <c r="G1840" s="1" t="str">
        <f t="shared" si="248"/>
        <v>Фізична особа</v>
      </c>
      <c r="H1840" s="1" t="s">
        <v>20</v>
      </c>
      <c r="I1840" s="1" t="s">
        <v>20</v>
      </c>
      <c r="J1840" s="1" t="str">
        <f t="shared" si="252"/>
        <v>Закрито</v>
      </c>
      <c r="K1840" s="5">
        <v>45614</v>
      </c>
      <c r="L1840" s="1" t="s">
        <v>20</v>
      </c>
      <c r="M1840" s="1" t="s">
        <v>22</v>
      </c>
      <c r="N1840" s="5">
        <v>45614</v>
      </c>
    </row>
    <row r="1841" spans="1:14" x14ac:dyDescent="0.3">
      <c r="A1841" s="1" t="str">
        <f>"30_623-11/2024/Ю"</f>
        <v>30_623-11/2024/Ю</v>
      </c>
      <c r="B1841" s="6">
        <v>45614</v>
      </c>
      <c r="C1841" s="1" t="str">
        <f>"00038"</f>
        <v>00038</v>
      </c>
      <c r="D184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41" s="1" t="s">
        <v>20</v>
      </c>
      <c r="F1841" s="1" t="str">
        <f t="shared" si="251"/>
        <v>Центр надання адміністративних послуг Рогатинської міської ради</v>
      </c>
      <c r="G1841" s="1" t="str">
        <f t="shared" si="248"/>
        <v>Фізична особа</v>
      </c>
      <c r="H1841" s="1" t="s">
        <v>20</v>
      </c>
      <c r="I1841" s="1" t="s">
        <v>20</v>
      </c>
      <c r="J1841" s="1" t="str">
        <f t="shared" si="252"/>
        <v>Закрито</v>
      </c>
      <c r="K1841" s="5">
        <v>45614</v>
      </c>
      <c r="L1841" s="1" t="s">
        <v>20</v>
      </c>
      <c r="M1841" s="1" t="s">
        <v>22</v>
      </c>
      <c r="N1841" s="5">
        <v>45614</v>
      </c>
    </row>
    <row r="1842" spans="1:14" x14ac:dyDescent="0.3">
      <c r="A1842" s="1" t="str">
        <f>"14_999-11/2024/Р"</f>
        <v>14_999-11/2024/Р</v>
      </c>
      <c r="B1842" s="6">
        <v>45614</v>
      </c>
      <c r="C1842" s="1" t="str">
        <f>"00038"</f>
        <v>00038</v>
      </c>
      <c r="D184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42" s="1" t="s">
        <v>20</v>
      </c>
      <c r="F1842" s="1" t="str">
        <f t="shared" si="251"/>
        <v>Центр надання адміністративних послуг Рогатинської міської ради</v>
      </c>
      <c r="G1842" s="1" t="str">
        <f>"Юридична особа"</f>
        <v>Юридична особа</v>
      </c>
      <c r="H1842" s="1" t="str">
        <f>"Рогатинський районний суд"</f>
        <v>Рогатинський районний суд</v>
      </c>
      <c r="I1842" s="1" t="s">
        <v>20</v>
      </c>
      <c r="J1842" s="1" t="str">
        <f t="shared" si="252"/>
        <v>Закрито</v>
      </c>
      <c r="K1842" s="5">
        <v>45614</v>
      </c>
      <c r="L1842" s="1" t="s">
        <v>20</v>
      </c>
      <c r="M1842" s="1" t="s">
        <v>22</v>
      </c>
      <c r="N1842" s="5">
        <v>45614</v>
      </c>
    </row>
    <row r="1843" spans="1:14" x14ac:dyDescent="0.3">
      <c r="A1843" s="1" t="str">
        <f>"27_592-11/2024/В"</f>
        <v>27_592-11/2024/В</v>
      </c>
      <c r="B1843" s="6">
        <v>45614</v>
      </c>
      <c r="C1843" s="1" t="str">
        <f>"33"</f>
        <v>33</v>
      </c>
      <c r="D1843" s="2" t="str">
        <f>"33 Довідки різного характеру"</f>
        <v>33 Довідки різного характеру</v>
      </c>
      <c r="E1843" s="1" t="s">
        <v>20</v>
      </c>
      <c r="F1843" s="1" t="str">
        <f t="shared" si="251"/>
        <v>Центр надання адміністративних послуг Рогатинської міської ради</v>
      </c>
      <c r="G1843" s="1" t="str">
        <f t="shared" ref="G1843:G1877" si="253">"Фізична особа"</f>
        <v>Фізична особа</v>
      </c>
      <c r="H1843" s="1" t="s">
        <v>20</v>
      </c>
      <c r="I1843" s="1" t="s">
        <v>20</v>
      </c>
      <c r="J1843" s="1" t="str">
        <f t="shared" si="252"/>
        <v>Закрито</v>
      </c>
      <c r="K1843" s="5">
        <v>45614</v>
      </c>
      <c r="L1843" s="1" t="s">
        <v>20</v>
      </c>
      <c r="M1843" s="1" t="s">
        <v>22</v>
      </c>
      <c r="N1843" s="5">
        <v>45614</v>
      </c>
    </row>
    <row r="1844" spans="1:14" x14ac:dyDescent="0.3">
      <c r="A1844" s="1" t="str">
        <f>"30_624-11/2024/Ю"</f>
        <v>30_624-11/2024/Ю</v>
      </c>
      <c r="B1844" s="6">
        <v>45614</v>
      </c>
      <c r="C1844" s="1" t="str">
        <f>"00038"</f>
        <v>00038</v>
      </c>
      <c r="D184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44" s="1" t="s">
        <v>20</v>
      </c>
      <c r="F1844" s="1" t="str">
        <f t="shared" si="251"/>
        <v>Центр надання адміністративних послуг Рогатинської міської ради</v>
      </c>
      <c r="G1844" s="1" t="str">
        <f t="shared" si="253"/>
        <v>Фізична особа</v>
      </c>
      <c r="H1844" s="1" t="s">
        <v>20</v>
      </c>
      <c r="I1844" s="1" t="s">
        <v>20</v>
      </c>
      <c r="J1844" s="1" t="str">
        <f t="shared" si="252"/>
        <v>Закрито</v>
      </c>
      <c r="K1844" s="5">
        <v>45614</v>
      </c>
      <c r="L1844" s="1" t="s">
        <v>20</v>
      </c>
      <c r="M1844" s="1" t="s">
        <v>22</v>
      </c>
      <c r="N1844" s="5">
        <v>45614</v>
      </c>
    </row>
    <row r="1845" spans="1:14" x14ac:dyDescent="0.3">
      <c r="A1845" s="1" t="str">
        <f>"29_470-11/2024/Д"</f>
        <v>29_470-11/2024/Д</v>
      </c>
      <c r="B1845" s="6">
        <v>45614</v>
      </c>
      <c r="C1845" s="1" t="str">
        <f>"00038"</f>
        <v>00038</v>
      </c>
      <c r="D184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45" s="1" t="s">
        <v>20</v>
      </c>
      <c r="F1845" s="1" t="str">
        <f t="shared" si="251"/>
        <v>Центр надання адміністративних послуг Рогатинської міської ради</v>
      </c>
      <c r="G1845" s="1" t="str">
        <f t="shared" si="253"/>
        <v>Фізична особа</v>
      </c>
      <c r="H1845" s="1" t="s">
        <v>20</v>
      </c>
      <c r="I1845" s="1" t="s">
        <v>20</v>
      </c>
      <c r="J1845" s="1" t="str">
        <f t="shared" si="252"/>
        <v>Закрито</v>
      </c>
      <c r="K1845" s="5">
        <v>45614</v>
      </c>
      <c r="L1845" s="1" t="s">
        <v>20</v>
      </c>
      <c r="M1845" s="1" t="s">
        <v>22</v>
      </c>
      <c r="N1845" s="5">
        <v>45614</v>
      </c>
    </row>
    <row r="1846" spans="1:14" x14ac:dyDescent="0.3">
      <c r="A1846" s="1" t="str">
        <f>"29_471-11/2024/Д"</f>
        <v>29_471-11/2024/Д</v>
      </c>
      <c r="B1846" s="6">
        <v>45614</v>
      </c>
      <c r="C1846" s="1" t="str">
        <f>"00038"</f>
        <v>00038</v>
      </c>
      <c r="D184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46" s="1" t="s">
        <v>20</v>
      </c>
      <c r="F1846" s="1" t="str">
        <f t="shared" si="251"/>
        <v>Центр надання адміністративних послуг Рогатинської міської ради</v>
      </c>
      <c r="G1846" s="1" t="str">
        <f t="shared" si="253"/>
        <v>Фізична особа</v>
      </c>
      <c r="H1846" s="1" t="s">
        <v>20</v>
      </c>
      <c r="I1846" s="1" t="s">
        <v>20</v>
      </c>
      <c r="J1846" s="1" t="str">
        <f t="shared" si="252"/>
        <v>Закрито</v>
      </c>
      <c r="K1846" s="5">
        <v>45614</v>
      </c>
      <c r="L1846" s="1" t="s">
        <v>20</v>
      </c>
      <c r="M1846" s="1" t="s">
        <v>22</v>
      </c>
      <c r="N1846" s="5">
        <v>45614</v>
      </c>
    </row>
    <row r="1847" spans="1:14" x14ac:dyDescent="0.3">
      <c r="A1847" s="1" t="str">
        <f>"30_625-11/2024/Ю"</f>
        <v>30_625-11/2024/Ю</v>
      </c>
      <c r="B1847" s="6">
        <v>45614</v>
      </c>
      <c r="C1847" s="1" t="str">
        <f>"00038"</f>
        <v>00038</v>
      </c>
      <c r="D184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47" s="1" t="s">
        <v>20</v>
      </c>
      <c r="F1847" s="1" t="str">
        <f t="shared" si="251"/>
        <v>Центр надання адміністративних послуг Рогатинської міської ради</v>
      </c>
      <c r="G1847" s="1" t="str">
        <f t="shared" si="253"/>
        <v>Фізична особа</v>
      </c>
      <c r="H1847" s="1" t="s">
        <v>20</v>
      </c>
      <c r="I1847" s="1" t="s">
        <v>20</v>
      </c>
      <c r="J1847" s="1" t="str">
        <f t="shared" si="252"/>
        <v>Закрито</v>
      </c>
      <c r="K1847" s="5">
        <v>45614</v>
      </c>
      <c r="L1847" s="1" t="s">
        <v>20</v>
      </c>
      <c r="M1847" s="1" t="s">
        <v>22</v>
      </c>
      <c r="N1847" s="5">
        <v>45614</v>
      </c>
    </row>
    <row r="1848" spans="1:14" x14ac:dyDescent="0.3">
      <c r="A1848" s="1" t="str">
        <f>"29_472-11/2024/і"</f>
        <v>29_472-11/2024/і</v>
      </c>
      <c r="B1848" s="6">
        <v>45614</v>
      </c>
      <c r="C1848" s="1" t="str">
        <f>"00155"</f>
        <v>00155</v>
      </c>
      <c r="D1848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848" s="1" t="str">
        <f>"03193413"</f>
        <v>03193413</v>
      </c>
      <c r="F184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48" s="1" t="str">
        <f t="shared" si="253"/>
        <v>Фізична особа</v>
      </c>
      <c r="H1848" s="1" t="s">
        <v>20</v>
      </c>
      <c r="I1848" s="1" t="s">
        <v>20</v>
      </c>
      <c r="J1848" s="1" t="str">
        <f>"На обробці в СНАП"</f>
        <v>На обробці в СНАП</v>
      </c>
      <c r="K1848" s="1" t="s">
        <v>20</v>
      </c>
      <c r="L1848" s="1" t="s">
        <v>20</v>
      </c>
      <c r="M1848" s="1" t="s">
        <v>22</v>
      </c>
      <c r="N1848" s="1" t="s">
        <v>20</v>
      </c>
    </row>
    <row r="1849" spans="1:14" x14ac:dyDescent="0.3">
      <c r="A1849" s="1" t="str">
        <f>"29_473-11/2024/р"</f>
        <v>29_473-11/2024/р</v>
      </c>
      <c r="B1849" s="6">
        <v>45614</v>
      </c>
      <c r="C1849" s="1" t="str">
        <f>"33"</f>
        <v>33</v>
      </c>
      <c r="D1849" s="2" t="str">
        <f>"33 Довідки різного характеру"</f>
        <v>33 Довідки різного характеру</v>
      </c>
      <c r="E1849" s="1" t="s">
        <v>20</v>
      </c>
      <c r="F184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49" s="1" t="str">
        <f t="shared" si="253"/>
        <v>Фізична особа</v>
      </c>
      <c r="H1849" s="1" t="s">
        <v>20</v>
      </c>
      <c r="I1849" s="1" t="s">
        <v>20</v>
      </c>
      <c r="J1849" s="1" t="str">
        <f t="shared" ref="J1849:J1870" si="254">"Закрито"</f>
        <v>Закрито</v>
      </c>
      <c r="K1849" s="5">
        <v>45614</v>
      </c>
      <c r="L1849" s="1" t="s">
        <v>20</v>
      </c>
      <c r="M1849" s="1" t="s">
        <v>22</v>
      </c>
      <c r="N1849" s="5">
        <v>45614</v>
      </c>
    </row>
    <row r="1850" spans="1:14" x14ac:dyDescent="0.3">
      <c r="A1850" s="1" t="str">
        <f>"30_626-11/2024/Ю"</f>
        <v>30_626-11/2024/Ю</v>
      </c>
      <c r="B1850" s="6">
        <v>45614</v>
      </c>
      <c r="C1850" s="1" t="str">
        <f>"01974"</f>
        <v>01974</v>
      </c>
      <c r="D1850" s="2" t="str">
        <f>"Призначення пільги на оплату житла, комунальних послуг"</f>
        <v>Призначення пільги на оплату житла, комунальних послуг</v>
      </c>
      <c r="E1850" s="1" t="str">
        <f>"03193413"</f>
        <v>03193413</v>
      </c>
      <c r="F185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50" s="1" t="str">
        <f t="shared" si="253"/>
        <v>Фізична особа</v>
      </c>
      <c r="H1850" s="1" t="s">
        <v>20</v>
      </c>
      <c r="I1850" s="1" t="s">
        <v>20</v>
      </c>
      <c r="J1850" s="1" t="str">
        <f t="shared" si="254"/>
        <v>Закрито</v>
      </c>
      <c r="K1850" s="5">
        <v>45653</v>
      </c>
      <c r="L1850" s="1" t="s">
        <v>20</v>
      </c>
      <c r="M1850" s="1" t="s">
        <v>22</v>
      </c>
      <c r="N1850" s="5">
        <v>45653</v>
      </c>
    </row>
    <row r="1851" spans="1:14" x14ac:dyDescent="0.3">
      <c r="A1851" s="1" t="str">
        <f>"29_474-11/2024/З"</f>
        <v>29_474-11/2024/З</v>
      </c>
      <c r="B1851" s="6">
        <v>45614</v>
      </c>
      <c r="C1851" s="1" t="str">
        <f>"33"</f>
        <v>33</v>
      </c>
      <c r="D1851" s="2" t="str">
        <f>"33 Довідки різного характеру"</f>
        <v>33 Довідки різного характеру</v>
      </c>
      <c r="E1851" s="1" t="s">
        <v>20</v>
      </c>
      <c r="F18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51" s="1" t="str">
        <f t="shared" si="253"/>
        <v>Фізична особа</v>
      </c>
      <c r="H1851" s="1" t="s">
        <v>20</v>
      </c>
      <c r="I1851" s="1" t="s">
        <v>20</v>
      </c>
      <c r="J1851" s="1" t="str">
        <f t="shared" si="254"/>
        <v>Закрито</v>
      </c>
      <c r="K1851" s="5">
        <v>45614</v>
      </c>
      <c r="L1851" s="1" t="s">
        <v>20</v>
      </c>
      <c r="M1851" s="1" t="s">
        <v>22</v>
      </c>
      <c r="N1851" s="5">
        <v>45614</v>
      </c>
    </row>
    <row r="1852" spans="1:14" x14ac:dyDescent="0.3">
      <c r="A1852" s="1" t="str">
        <f>"1_5875/2129-11/2024/П"</f>
        <v>1_5875/2129-11/2024/П</v>
      </c>
      <c r="B1852" s="6">
        <v>45614</v>
      </c>
      <c r="C1852" s="1" t="str">
        <f>"00038"</f>
        <v>00038</v>
      </c>
      <c r="D185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52" s="1" t="s">
        <v>20</v>
      </c>
      <c r="F18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52" s="1" t="str">
        <f t="shared" si="253"/>
        <v>Фізична особа</v>
      </c>
      <c r="H1852" s="1" t="s">
        <v>20</v>
      </c>
      <c r="I1852" s="1" t="s">
        <v>20</v>
      </c>
      <c r="J1852" s="1" t="str">
        <f t="shared" si="254"/>
        <v>Закрито</v>
      </c>
      <c r="K1852" s="5">
        <v>45614</v>
      </c>
      <c r="L1852" s="1" t="s">
        <v>20</v>
      </c>
      <c r="M1852" s="1" t="s">
        <v>22</v>
      </c>
      <c r="N1852" s="5">
        <v>45614</v>
      </c>
    </row>
    <row r="1853" spans="1:14" x14ac:dyDescent="0.3">
      <c r="A1853" s="1" t="str">
        <f>"28_655-11/2024/В"</f>
        <v>28_655-11/2024/В</v>
      </c>
      <c r="B1853" s="6">
        <v>45614</v>
      </c>
      <c r="C1853" s="1" t="str">
        <f>"01841"</f>
        <v>01841</v>
      </c>
      <c r="D1853" s="2" t="str">
        <f>"Видача довідки про реєстрацію та проживання особи станом на 15.04.1991 року"</f>
        <v>Видача довідки про реєстрацію та проживання особи станом на 15.04.1991 року</v>
      </c>
      <c r="E1853" s="1" t="s">
        <v>20</v>
      </c>
      <c r="F18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53" s="1" t="str">
        <f t="shared" si="253"/>
        <v>Фізична особа</v>
      </c>
      <c r="H1853" s="1" t="s">
        <v>20</v>
      </c>
      <c r="I1853" s="1" t="s">
        <v>20</v>
      </c>
      <c r="J1853" s="1" t="str">
        <f t="shared" si="254"/>
        <v>Закрито</v>
      </c>
      <c r="K1853" s="5">
        <v>45615</v>
      </c>
      <c r="L1853" s="1" t="s">
        <v>20</v>
      </c>
      <c r="M1853" s="1" t="s">
        <v>22</v>
      </c>
      <c r="N1853" s="5">
        <v>45615</v>
      </c>
    </row>
    <row r="1854" spans="1:14" x14ac:dyDescent="0.3">
      <c r="A1854" s="1" t="str">
        <f>"30_627-11/2024/Ю"</f>
        <v>30_627-11/2024/Ю</v>
      </c>
      <c r="B1854" s="6">
        <v>45614</v>
      </c>
      <c r="C1854" s="1" t="str">
        <f>"33"</f>
        <v>33</v>
      </c>
      <c r="D1854" s="2" t="str">
        <f>"33 Довідки різного характеру"</f>
        <v>33 Довідки різного характеру</v>
      </c>
      <c r="E1854" s="1" t="s">
        <v>20</v>
      </c>
      <c r="F185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54" s="1" t="str">
        <f t="shared" si="253"/>
        <v>Фізична особа</v>
      </c>
      <c r="H1854" s="1" t="s">
        <v>20</v>
      </c>
      <c r="I1854" s="1" t="s">
        <v>20</v>
      </c>
      <c r="J1854" s="1" t="str">
        <f t="shared" si="254"/>
        <v>Закрито</v>
      </c>
      <c r="K1854" s="5">
        <v>45614</v>
      </c>
      <c r="L1854" s="1" t="s">
        <v>20</v>
      </c>
      <c r="M1854" s="1" t="s">
        <v>22</v>
      </c>
      <c r="N1854" s="5">
        <v>45614</v>
      </c>
    </row>
    <row r="1855" spans="1:14" x14ac:dyDescent="0.3">
      <c r="A1855" s="1" t="str">
        <f>"3_1374/4-11/2024/О"</f>
        <v>3_1374/4-11/2024/О</v>
      </c>
      <c r="B1855" s="6">
        <v>45614</v>
      </c>
      <c r="C1855" s="1" t="str">
        <f>"00060"</f>
        <v>00060</v>
      </c>
      <c r="D1855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855" s="1" t="s">
        <v>20</v>
      </c>
      <c r="F1855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855" s="1" t="str">
        <f t="shared" si="253"/>
        <v>Фізична особа</v>
      </c>
      <c r="H1855" s="1" t="s">
        <v>20</v>
      </c>
      <c r="I1855" s="1" t="s">
        <v>20</v>
      </c>
      <c r="J1855" s="1" t="str">
        <f t="shared" si="254"/>
        <v>Закрито</v>
      </c>
      <c r="K1855" s="5">
        <v>45614</v>
      </c>
      <c r="L1855" s="1" t="str">
        <f>"151.4"</f>
        <v>151.4</v>
      </c>
      <c r="M1855" s="1" t="s">
        <v>22</v>
      </c>
      <c r="N1855" s="5">
        <v>45614</v>
      </c>
    </row>
    <row r="1856" spans="1:14" x14ac:dyDescent="0.3">
      <c r="A1856" s="1" t="str">
        <f>"3_1375/4-11/2024/О"</f>
        <v>3_1375/4-11/2024/О</v>
      </c>
      <c r="B1856" s="6">
        <v>45614</v>
      </c>
      <c r="C1856" s="1" t="str">
        <f>"00060"</f>
        <v>00060</v>
      </c>
      <c r="D1856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856" s="1" t="s">
        <v>20</v>
      </c>
      <c r="F1856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856" s="1" t="str">
        <f t="shared" si="253"/>
        <v>Фізична особа</v>
      </c>
      <c r="H1856" s="1" t="s">
        <v>20</v>
      </c>
      <c r="I1856" s="1" t="s">
        <v>20</v>
      </c>
      <c r="J1856" s="1" t="str">
        <f t="shared" si="254"/>
        <v>Закрито</v>
      </c>
      <c r="K1856" s="5">
        <v>45614</v>
      </c>
      <c r="L1856" s="1" t="str">
        <f>"151.4"</f>
        <v>151.4</v>
      </c>
      <c r="M1856" s="1" t="s">
        <v>22</v>
      </c>
      <c r="N1856" s="5">
        <v>45614</v>
      </c>
    </row>
    <row r="1857" spans="1:14" x14ac:dyDescent="0.3">
      <c r="A1857" s="1" t="str">
        <f>"3_1376/4-11/2024/О"</f>
        <v>3_1376/4-11/2024/О</v>
      </c>
      <c r="B1857" s="6">
        <v>45614</v>
      </c>
      <c r="C1857" s="1" t="str">
        <f>"00060"</f>
        <v>00060</v>
      </c>
      <c r="D1857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857" s="1" t="s">
        <v>20</v>
      </c>
      <c r="F1857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857" s="1" t="str">
        <f t="shared" si="253"/>
        <v>Фізична особа</v>
      </c>
      <c r="H1857" s="1" t="s">
        <v>20</v>
      </c>
      <c r="I1857" s="1" t="s">
        <v>20</v>
      </c>
      <c r="J1857" s="1" t="str">
        <f t="shared" si="254"/>
        <v>Закрито</v>
      </c>
      <c r="K1857" s="5">
        <v>45614</v>
      </c>
      <c r="L1857" s="1" t="s">
        <v>20</v>
      </c>
      <c r="M1857" s="1" t="s">
        <v>22</v>
      </c>
      <c r="N1857" s="5">
        <v>45614</v>
      </c>
    </row>
    <row r="1858" spans="1:14" x14ac:dyDescent="0.3">
      <c r="A1858" s="1" t="str">
        <f>"14_1000-11/2024/Д"</f>
        <v>14_1000-11/2024/Д</v>
      </c>
      <c r="B1858" s="6">
        <v>45614</v>
      </c>
      <c r="C1858" s="1" t="str">
        <f>"00038"</f>
        <v>00038</v>
      </c>
      <c r="D185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58" s="1" t="s">
        <v>20</v>
      </c>
      <c r="F185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58" s="1" t="str">
        <f t="shared" si="253"/>
        <v>Фізична особа</v>
      </c>
      <c r="H1858" s="1" t="s">
        <v>20</v>
      </c>
      <c r="I1858" s="1" t="s">
        <v>20</v>
      </c>
      <c r="J1858" s="1" t="str">
        <f t="shared" si="254"/>
        <v>Закрито</v>
      </c>
      <c r="K1858" s="5">
        <v>45614</v>
      </c>
      <c r="L1858" s="1" t="s">
        <v>20</v>
      </c>
      <c r="M1858" s="1" t="s">
        <v>22</v>
      </c>
      <c r="N1858" s="5">
        <v>45614</v>
      </c>
    </row>
    <row r="1859" spans="1:14" x14ac:dyDescent="0.3">
      <c r="A1859" s="1" t="str">
        <f>"14_1001-11/2024/Б"</f>
        <v>14_1001-11/2024/Б</v>
      </c>
      <c r="B1859" s="6">
        <v>45614</v>
      </c>
      <c r="C1859" s="1" t="str">
        <f>"00038"</f>
        <v>00038</v>
      </c>
      <c r="D185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59" s="1" t="s">
        <v>20</v>
      </c>
      <c r="F18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59" s="1" t="str">
        <f t="shared" si="253"/>
        <v>Фізична особа</v>
      </c>
      <c r="H1859" s="1" t="s">
        <v>20</v>
      </c>
      <c r="I1859" s="1" t="s">
        <v>20</v>
      </c>
      <c r="J1859" s="1" t="str">
        <f t="shared" si="254"/>
        <v>Закрито</v>
      </c>
      <c r="K1859" s="5">
        <v>45614</v>
      </c>
      <c r="L1859" s="1" t="s">
        <v>20</v>
      </c>
      <c r="M1859" s="1" t="s">
        <v>22</v>
      </c>
      <c r="N1859" s="5">
        <v>45614</v>
      </c>
    </row>
    <row r="1860" spans="1:14" x14ac:dyDescent="0.3">
      <c r="A1860" s="1" t="str">
        <f>"1_5876/2129-11/2024/Б"</f>
        <v>1_5876/2129-11/2024/Б</v>
      </c>
      <c r="B1860" s="6">
        <v>45614</v>
      </c>
      <c r="C1860" s="1" t="str">
        <f>"00038"</f>
        <v>00038</v>
      </c>
      <c r="D186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60" s="1" t="s">
        <v>20</v>
      </c>
      <c r="F18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60" s="1" t="str">
        <f t="shared" si="253"/>
        <v>Фізична особа</v>
      </c>
      <c r="H1860" s="1" t="s">
        <v>20</v>
      </c>
      <c r="I1860" s="1" t="s">
        <v>20</v>
      </c>
      <c r="J1860" s="1" t="str">
        <f t="shared" si="254"/>
        <v>Закрито</v>
      </c>
      <c r="K1860" s="5">
        <v>45614</v>
      </c>
      <c r="L1860" s="1" t="s">
        <v>20</v>
      </c>
      <c r="M1860" s="1" t="s">
        <v>22</v>
      </c>
      <c r="N1860" s="5">
        <v>45614</v>
      </c>
    </row>
    <row r="1861" spans="1:14" x14ac:dyDescent="0.3">
      <c r="A1861" s="1" t="str">
        <f>"8_75/2129-11/2024/Л"</f>
        <v>8_75/2129-11/2024/Л</v>
      </c>
      <c r="B1861" s="6">
        <v>45614</v>
      </c>
      <c r="C1861" s="1" t="str">
        <f>"00033"</f>
        <v>00033</v>
      </c>
      <c r="D1861" s="2" t="str">
        <f>"Державна реєстрація смерті"</f>
        <v>Державна реєстрація смерті</v>
      </c>
      <c r="E1861" s="1" t="s">
        <v>20</v>
      </c>
      <c r="F186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61" s="1" t="str">
        <f t="shared" si="253"/>
        <v>Фізична особа</v>
      </c>
      <c r="H1861" s="1" t="s">
        <v>20</v>
      </c>
      <c r="I1861" s="1" t="s">
        <v>20</v>
      </c>
      <c r="J1861" s="1" t="str">
        <f t="shared" si="254"/>
        <v>Закрито</v>
      </c>
      <c r="K1861" s="5">
        <v>45614</v>
      </c>
      <c r="L1861" s="1" t="s">
        <v>20</v>
      </c>
      <c r="M1861" s="1" t="s">
        <v>22</v>
      </c>
      <c r="N1861" s="5">
        <v>45614</v>
      </c>
    </row>
    <row r="1862" spans="1:14" x14ac:dyDescent="0.3">
      <c r="A1862" s="1" t="str">
        <f>"1_5877/2129-11/2024/Л"</f>
        <v>1_5877/2129-11/2024/Л</v>
      </c>
      <c r="B1862" s="6">
        <v>45614</v>
      </c>
      <c r="C1862" s="1" t="str">
        <f>"00037"</f>
        <v>00037</v>
      </c>
      <c r="D1862" s="2" t="str">
        <f>"Зняття з реєстрації місця проживання"</f>
        <v>Зняття з реєстрації місця проживання</v>
      </c>
      <c r="E1862" s="1" t="s">
        <v>20</v>
      </c>
      <c r="F186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62" s="1" t="str">
        <f t="shared" si="253"/>
        <v>Фізична особа</v>
      </c>
      <c r="H1862" s="1" t="s">
        <v>20</v>
      </c>
      <c r="I1862" s="1" t="s">
        <v>20</v>
      </c>
      <c r="J1862" s="1" t="str">
        <f t="shared" si="254"/>
        <v>Закрито</v>
      </c>
      <c r="K1862" s="5">
        <v>45614</v>
      </c>
      <c r="L1862" s="1" t="s">
        <v>20</v>
      </c>
      <c r="M1862" s="1" t="s">
        <v>22</v>
      </c>
      <c r="N1862" s="5">
        <v>45614</v>
      </c>
    </row>
    <row r="1863" spans="1:14" x14ac:dyDescent="0.3">
      <c r="A1863" s="1" t="str">
        <f>"34_390-11/2024/Д"</f>
        <v>34_390-11/2024/Д</v>
      </c>
      <c r="B1863" s="6">
        <v>45614</v>
      </c>
      <c r="C1863" s="1" t="str">
        <f>"00101"</f>
        <v>00101</v>
      </c>
      <c r="D1863" s="2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1863" s="1" t="str">
        <f>"03193413"</f>
        <v>03193413</v>
      </c>
      <c r="F186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63" s="1" t="str">
        <f t="shared" si="253"/>
        <v>Фізична особа</v>
      </c>
      <c r="H1863" s="1" t="s">
        <v>20</v>
      </c>
      <c r="I1863" s="1" t="s">
        <v>20</v>
      </c>
      <c r="J1863" s="1" t="str">
        <f t="shared" si="254"/>
        <v>Закрито</v>
      </c>
      <c r="K1863" s="5">
        <v>45656</v>
      </c>
      <c r="L1863" s="1" t="s">
        <v>20</v>
      </c>
      <c r="M1863" s="1" t="s">
        <v>22</v>
      </c>
      <c r="N1863" s="5">
        <v>45655</v>
      </c>
    </row>
    <row r="1864" spans="1:14" x14ac:dyDescent="0.3">
      <c r="A1864" s="1" t="str">
        <f>"2_1997/04054323-11/2024/Р"</f>
        <v>2_1997/04054323-11/2024/Р</v>
      </c>
      <c r="B1864" s="6">
        <v>45614</v>
      </c>
      <c r="C1864" s="1" t="str">
        <f>"01240"</f>
        <v>01240</v>
      </c>
      <c r="D1864" s="2" t="str">
        <f>"Прийняття рішення про зміну адреси об’єкта нерухомого майна"</f>
        <v>Прийняття рішення про зміну адреси об’єкта нерухомого майна</v>
      </c>
      <c r="E1864" s="1" t="str">
        <f>"04054323"</f>
        <v>04054323</v>
      </c>
      <c r="F1864" s="1" t="str">
        <f>"Рогатинська міська рада"</f>
        <v>Рогатинська міська рада</v>
      </c>
      <c r="G1864" s="1" t="str">
        <f t="shared" si="253"/>
        <v>Фізична особа</v>
      </c>
      <c r="H1864" s="1" t="s">
        <v>20</v>
      </c>
      <c r="I1864" s="1" t="s">
        <v>20</v>
      </c>
      <c r="J1864" s="1" t="str">
        <f t="shared" si="254"/>
        <v>Закрито</v>
      </c>
      <c r="K1864" s="5">
        <v>45628</v>
      </c>
      <c r="L1864" s="1" t="s">
        <v>20</v>
      </c>
      <c r="M1864" s="1" t="s">
        <v>22</v>
      </c>
      <c r="N1864" s="5">
        <v>45628</v>
      </c>
    </row>
    <row r="1865" spans="1:14" x14ac:dyDescent="0.3">
      <c r="A1865" s="1" t="str">
        <f>"34_391-11/2024/Г"</f>
        <v>34_391-11/2024/Г</v>
      </c>
      <c r="B1865" s="6">
        <v>45614</v>
      </c>
      <c r="C1865" s="1" t="str">
        <f>"00149"</f>
        <v>00149</v>
      </c>
      <c r="D1865" s="2" t="str">
        <f>"Призначення державної допомоги на дітей, над якими встановлено опіку чи піклування"</f>
        <v>Призначення державної допомоги на дітей, над якими встановлено опіку чи піклування</v>
      </c>
      <c r="E1865" s="1" t="str">
        <f>"03193413"</f>
        <v>03193413</v>
      </c>
      <c r="F186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65" s="1" t="str">
        <f t="shared" si="253"/>
        <v>Фізична особа</v>
      </c>
      <c r="H1865" s="1" t="s">
        <v>20</v>
      </c>
      <c r="I1865" s="1" t="s">
        <v>20</v>
      </c>
      <c r="J1865" s="1" t="str">
        <f t="shared" si="254"/>
        <v>Закрито</v>
      </c>
      <c r="K1865" s="5">
        <v>45656</v>
      </c>
      <c r="L1865" s="1" t="s">
        <v>20</v>
      </c>
      <c r="M1865" s="1" t="s">
        <v>22</v>
      </c>
      <c r="N1865" s="5">
        <v>45657</v>
      </c>
    </row>
    <row r="1866" spans="1:14" x14ac:dyDescent="0.3">
      <c r="A1866" s="1" t="str">
        <f>"6_353/04054323-11/2024/К"</f>
        <v>6_353/04054323-11/2024/К</v>
      </c>
      <c r="B1866" s="6">
        <v>45614</v>
      </c>
      <c r="C1866" s="1" t="str">
        <f>""</f>
        <v/>
      </c>
      <c r="D1866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1866" s="1" t="str">
        <f>"04054323"</f>
        <v>04054323</v>
      </c>
      <c r="F1866" s="1" t="str">
        <f>"Рогатинська міська рада"</f>
        <v>Рогатинська міська рада</v>
      </c>
      <c r="G1866" s="1" t="str">
        <f t="shared" si="253"/>
        <v>Фізична особа</v>
      </c>
      <c r="H1866" s="1" t="s">
        <v>20</v>
      </c>
      <c r="I1866" s="1" t="s">
        <v>20</v>
      </c>
      <c r="J1866" s="1" t="str">
        <f t="shared" si="254"/>
        <v>Закрито</v>
      </c>
      <c r="K1866" s="5">
        <v>45622</v>
      </c>
      <c r="L1866" s="1" t="s">
        <v>20</v>
      </c>
      <c r="M1866" s="1" t="s">
        <v>22</v>
      </c>
      <c r="N1866" s="5">
        <v>45622</v>
      </c>
    </row>
    <row r="1867" spans="1:14" x14ac:dyDescent="0.3">
      <c r="A1867" s="1" t="str">
        <f>"34_392-11/2024/Д"</f>
        <v>34_392-11/2024/Д</v>
      </c>
      <c r="B1867" s="6">
        <v>45614</v>
      </c>
      <c r="C1867" s="1" t="str">
        <f>"00038"</f>
        <v>00038</v>
      </c>
      <c r="D186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67" s="1" t="s">
        <v>20</v>
      </c>
      <c r="F186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67" s="1" t="str">
        <f t="shared" si="253"/>
        <v>Фізична особа</v>
      </c>
      <c r="H1867" s="1" t="s">
        <v>20</v>
      </c>
      <c r="I1867" s="1" t="s">
        <v>20</v>
      </c>
      <c r="J1867" s="1" t="str">
        <f t="shared" si="254"/>
        <v>Закрито</v>
      </c>
      <c r="K1867" s="5">
        <v>45614</v>
      </c>
      <c r="L1867" s="1" t="s">
        <v>20</v>
      </c>
      <c r="M1867" s="1" t="s">
        <v>22</v>
      </c>
      <c r="N1867" s="5">
        <v>45614</v>
      </c>
    </row>
    <row r="1868" spans="1:14" x14ac:dyDescent="0.3">
      <c r="A1868" s="1" t="str">
        <f>"8_76/2129-11/2024/К"</f>
        <v>8_76/2129-11/2024/К</v>
      </c>
      <c r="B1868" s="6">
        <v>45614</v>
      </c>
      <c r="C1868" s="1" t="str">
        <f>"00033"</f>
        <v>00033</v>
      </c>
      <c r="D1868" s="2" t="str">
        <f>"Державна реєстрація смерті"</f>
        <v>Державна реєстрація смерті</v>
      </c>
      <c r="E1868" s="1" t="s">
        <v>20</v>
      </c>
      <c r="F186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68" s="1" t="str">
        <f t="shared" si="253"/>
        <v>Фізична особа</v>
      </c>
      <c r="H1868" s="1" t="s">
        <v>20</v>
      </c>
      <c r="I1868" s="1" t="s">
        <v>20</v>
      </c>
      <c r="J1868" s="1" t="str">
        <f t="shared" si="254"/>
        <v>Закрито</v>
      </c>
      <c r="K1868" s="5">
        <v>45614</v>
      </c>
      <c r="L1868" s="1" t="s">
        <v>20</v>
      </c>
      <c r="M1868" s="1" t="s">
        <v>22</v>
      </c>
      <c r="N1868" s="5">
        <v>45614</v>
      </c>
    </row>
    <row r="1869" spans="1:14" x14ac:dyDescent="0.3">
      <c r="A1869" s="1" t="str">
        <f>"1_5878/2129-11/2024/К"</f>
        <v>1_5878/2129-11/2024/К</v>
      </c>
      <c r="B1869" s="6">
        <v>45614</v>
      </c>
      <c r="C1869" s="1" t="str">
        <f>"00037"</f>
        <v>00037</v>
      </c>
      <c r="D1869" s="2" t="str">
        <f>"Зняття з реєстрації місця проживання"</f>
        <v>Зняття з реєстрації місця проживання</v>
      </c>
      <c r="E1869" s="1" t="s">
        <v>20</v>
      </c>
      <c r="F186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69" s="1" t="str">
        <f t="shared" si="253"/>
        <v>Фізична особа</v>
      </c>
      <c r="H1869" s="1" t="s">
        <v>20</v>
      </c>
      <c r="I1869" s="1" t="s">
        <v>20</v>
      </c>
      <c r="J1869" s="1" t="str">
        <f t="shared" si="254"/>
        <v>Закрито</v>
      </c>
      <c r="K1869" s="5">
        <v>45614</v>
      </c>
      <c r="L1869" s="1" t="s">
        <v>20</v>
      </c>
      <c r="M1869" s="1" t="s">
        <v>22</v>
      </c>
      <c r="N1869" s="5">
        <v>45614</v>
      </c>
    </row>
    <row r="1870" spans="1:14" x14ac:dyDescent="0.3">
      <c r="A1870" s="1" t="str">
        <f>"6_354/2129-11/2024/Б"</f>
        <v>6_354/2129-11/2024/Б</v>
      </c>
      <c r="B1870" s="6">
        <v>45614</v>
      </c>
      <c r="C1870" s="1" t="str">
        <f>"01376"</f>
        <v>01376</v>
      </c>
      <c r="D1870" s="2" t="str">
        <f>"Реєстрація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(СС1)"</f>
        <v>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</v>
      </c>
      <c r="E1870" s="1" t="s">
        <v>20</v>
      </c>
      <c r="F187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70" s="1" t="str">
        <f t="shared" si="253"/>
        <v>Фізична особа</v>
      </c>
      <c r="H1870" s="1" t="s">
        <v>20</v>
      </c>
      <c r="I1870" s="1" t="s">
        <v>20</v>
      </c>
      <c r="J1870" s="1" t="str">
        <f t="shared" si="254"/>
        <v>Закрито</v>
      </c>
      <c r="K1870" s="5">
        <v>45615</v>
      </c>
      <c r="L1870" s="1" t="s">
        <v>20</v>
      </c>
      <c r="M1870" s="1" t="s">
        <v>22</v>
      </c>
      <c r="N1870" s="5">
        <v>45615</v>
      </c>
    </row>
    <row r="1871" spans="1:14" x14ac:dyDescent="0.3">
      <c r="A1871" s="1" t="str">
        <f>"4_1278/03193413-11/2024/Є"</f>
        <v>4_1278/03193413-11/2024/Є</v>
      </c>
      <c r="B1871" s="6">
        <v>45614</v>
      </c>
      <c r="C1871" s="1" t="str">
        <f>"00226"</f>
        <v>00226</v>
      </c>
      <c r="D1871" s="2" t="str">
        <f>"Взяття на облік для забезпечення санаторно-курортним лікуванням (путівками) осіб з інвалідністю"</f>
        <v>Взяття на облік для забезпечення санаторно-курортним лікуванням (путівками) осіб з інвалідністю</v>
      </c>
      <c r="E1871" s="1" t="str">
        <f>"03193413"</f>
        <v>03193413</v>
      </c>
      <c r="F187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71" s="1" t="str">
        <f t="shared" si="253"/>
        <v>Фізична особа</v>
      </c>
      <c r="H1871" s="1" t="s">
        <v>20</v>
      </c>
      <c r="I1871" s="1" t="s">
        <v>20</v>
      </c>
      <c r="J1871" s="1" t="str">
        <f>"Зареєстрований"</f>
        <v>Зареєстрований</v>
      </c>
      <c r="K1871" s="1" t="s">
        <v>20</v>
      </c>
      <c r="L1871" s="1" t="s">
        <v>20</v>
      </c>
      <c r="M1871" s="1" t="s">
        <v>22</v>
      </c>
      <c r="N1871" s="1" t="s">
        <v>20</v>
      </c>
    </row>
    <row r="1872" spans="1:14" x14ac:dyDescent="0.3">
      <c r="A1872" s="1" t="str">
        <f>"4_1279/03193413-11/2024/Є"</f>
        <v>4_1279/03193413-11/2024/Є</v>
      </c>
      <c r="B1872" s="6">
        <v>45614</v>
      </c>
      <c r="C1872" s="1" t="str">
        <f>"01255"</f>
        <v>01255</v>
      </c>
      <c r="D1872" s="2" t="str">
        <f>"Призначення грошової компенсації замість санаторно-курортної путівки особам з інвалідністю внаслідок війни та прирівняним до них особам"</f>
        <v>Призначення грошової компенсації замість санаторно-курортної путівки особам з інвалідністю внаслідок війни та прирівняним до них особам</v>
      </c>
      <c r="E1872" s="1" t="str">
        <f>"03193413"</f>
        <v>03193413</v>
      </c>
      <c r="F187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72" s="1" t="str">
        <f t="shared" si="253"/>
        <v>Фізична особа</v>
      </c>
      <c r="H1872" s="1" t="s">
        <v>20</v>
      </c>
      <c r="I1872" s="1" t="s">
        <v>20</v>
      </c>
      <c r="J1872" s="1" t="str">
        <f>"Закрито"</f>
        <v>Закрито</v>
      </c>
      <c r="K1872" s="5">
        <v>45615</v>
      </c>
      <c r="L1872" s="1" t="s">
        <v>20</v>
      </c>
      <c r="M1872" s="1" t="s">
        <v>22</v>
      </c>
      <c r="N1872" s="5">
        <v>45615</v>
      </c>
    </row>
    <row r="1873" spans="1:14" x14ac:dyDescent="0.3">
      <c r="A1873" s="1" t="str">
        <f>"3_1377/4-11/2024/Б"</f>
        <v>3_1377/4-11/2024/Б</v>
      </c>
      <c r="B1873" s="6">
        <v>45614</v>
      </c>
      <c r="C1873" s="1" t="str">
        <f>"00060"</f>
        <v>00060</v>
      </c>
      <c r="D1873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873" s="1" t="s">
        <v>20</v>
      </c>
      <c r="F1873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873" s="1" t="str">
        <f t="shared" si="253"/>
        <v>Фізична особа</v>
      </c>
      <c r="H1873" s="1" t="s">
        <v>20</v>
      </c>
      <c r="I1873" s="1" t="s">
        <v>20</v>
      </c>
      <c r="J1873" s="1" t="str">
        <f>"Результат підготовлено СНАП"</f>
        <v>Результат підготовлено СНАП</v>
      </c>
      <c r="K1873" s="5">
        <v>45614</v>
      </c>
      <c r="L1873" s="1" t="str">
        <f>"151.4"</f>
        <v>151.4</v>
      </c>
      <c r="M1873" s="1" t="s">
        <v>22</v>
      </c>
      <c r="N1873" s="1" t="s">
        <v>20</v>
      </c>
    </row>
    <row r="1874" spans="1:14" x14ac:dyDescent="0.3">
      <c r="A1874" s="1" t="str">
        <f>"24_339-11/2024/О"</f>
        <v>24_339-11/2024/О</v>
      </c>
      <c r="B1874" s="6">
        <v>45614</v>
      </c>
      <c r="C1874" s="1" t="str">
        <f>"00155"</f>
        <v>00155</v>
      </c>
      <c r="D1874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874" s="1" t="str">
        <f>"03193413"</f>
        <v>03193413</v>
      </c>
      <c r="F187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74" s="1" t="str">
        <f t="shared" si="253"/>
        <v>Фізична особа</v>
      </c>
      <c r="H1874" s="1" t="s">
        <v>20</v>
      </c>
      <c r="I1874" s="1" t="s">
        <v>20</v>
      </c>
      <c r="J1874" s="1" t="str">
        <f>"Закрито"</f>
        <v>Закрито</v>
      </c>
      <c r="K1874" s="5">
        <v>45618</v>
      </c>
      <c r="L1874" s="1" t="s">
        <v>20</v>
      </c>
      <c r="M1874" s="1" t="s">
        <v>22</v>
      </c>
      <c r="N1874" s="5">
        <v>45618</v>
      </c>
    </row>
    <row r="1875" spans="1:14" x14ac:dyDescent="0.3">
      <c r="A1875" s="1" t="str">
        <f>"3_1378/4-11/2024/Б"</f>
        <v>3_1378/4-11/2024/Б</v>
      </c>
      <c r="B1875" s="6">
        <v>45614</v>
      </c>
      <c r="C1875" s="1" t="str">
        <f>"00060"</f>
        <v>00060</v>
      </c>
      <c r="D1875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875" s="1" t="s">
        <v>20</v>
      </c>
      <c r="F1875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875" s="1" t="str">
        <f t="shared" si="253"/>
        <v>Фізична особа</v>
      </c>
      <c r="H1875" s="1" t="s">
        <v>20</v>
      </c>
      <c r="I1875" s="1" t="s">
        <v>20</v>
      </c>
      <c r="J1875" s="1" t="str">
        <f>"Результат підготовлено СНАП"</f>
        <v>Результат підготовлено СНАП</v>
      </c>
      <c r="K1875" s="5">
        <v>45614</v>
      </c>
      <c r="L1875" s="1" t="str">
        <f>"151.4"</f>
        <v>151.4</v>
      </c>
      <c r="M1875" s="1" t="s">
        <v>22</v>
      </c>
      <c r="N1875" s="1" t="s">
        <v>20</v>
      </c>
    </row>
    <row r="1876" spans="1:14" x14ac:dyDescent="0.3">
      <c r="A1876" s="1" t="str">
        <f>"24_340-11/2024/О"</f>
        <v>24_340-11/2024/О</v>
      </c>
      <c r="B1876" s="6">
        <v>45614</v>
      </c>
      <c r="C1876" s="1" t="str">
        <f>"00064"</f>
        <v>00064</v>
      </c>
      <c r="D1876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876" s="1" t="s">
        <v>20</v>
      </c>
      <c r="F1876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876" s="1" t="str">
        <f t="shared" si="253"/>
        <v>Фізична особа</v>
      </c>
      <c r="H1876" s="1" t="s">
        <v>20</v>
      </c>
      <c r="I1876" s="1" t="s">
        <v>20</v>
      </c>
      <c r="J1876" s="1" t="str">
        <f t="shared" ref="J1876:J1885" si="255">"Закрито"</f>
        <v>Закрито</v>
      </c>
      <c r="K1876" s="5">
        <v>45614</v>
      </c>
      <c r="L1876" s="1" t="s">
        <v>20</v>
      </c>
      <c r="M1876" s="1" t="s">
        <v>22</v>
      </c>
      <c r="N1876" s="5">
        <v>45614</v>
      </c>
    </row>
    <row r="1877" spans="1:14" x14ac:dyDescent="0.3">
      <c r="A1877" s="1" t="str">
        <f>"4_1280/03193413-11/2024/Є"</f>
        <v>4_1280/03193413-11/2024/Є</v>
      </c>
      <c r="B1877" s="6">
        <v>45614</v>
      </c>
      <c r="C1877" s="1" t="str">
        <f>"00226"</f>
        <v>00226</v>
      </c>
      <c r="D1877" s="2" t="str">
        <f>"Взяття на облік для забезпечення санаторно-курортним лікуванням (путівками) осіб з інвалідністю"</f>
        <v>Взяття на облік для забезпечення санаторно-курортним лікуванням (путівками) осіб з інвалідністю</v>
      </c>
      <c r="E1877" s="1" t="str">
        <f>"03193413"</f>
        <v>03193413</v>
      </c>
      <c r="F187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77" s="1" t="str">
        <f t="shared" si="253"/>
        <v>Фізична особа</v>
      </c>
      <c r="H1877" s="1" t="s">
        <v>20</v>
      </c>
      <c r="I1877" s="1" t="s">
        <v>20</v>
      </c>
      <c r="J1877" s="1" t="str">
        <f t="shared" si="255"/>
        <v>Закрито</v>
      </c>
      <c r="K1877" s="5">
        <v>45615</v>
      </c>
      <c r="L1877" s="1" t="s">
        <v>20</v>
      </c>
      <c r="M1877" s="1" t="s">
        <v>22</v>
      </c>
      <c r="N1877" s="5">
        <v>45615</v>
      </c>
    </row>
    <row r="1878" spans="1:14" x14ac:dyDescent="0.3">
      <c r="A1878" s="1" t="str">
        <f>"24_341-11/2024/П"</f>
        <v>24_341-11/2024/П</v>
      </c>
      <c r="B1878" s="6">
        <v>45614</v>
      </c>
      <c r="C1878" s="1" t="str">
        <f>"01495"</f>
        <v>01495</v>
      </c>
      <c r="D1878" s="2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1878" s="1" t="s">
        <v>20</v>
      </c>
      <c r="F1878" s="1" t="str">
        <f t="shared" ref="F1878:F1885" si="256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78" s="1" t="str">
        <f>"Юридична особа"</f>
        <v>Юридична особа</v>
      </c>
      <c r="H1878" s="1" t="str">
        <f>"Приватний нотаріус Дзера Маряна Любомирівна"</f>
        <v>Приватний нотаріус Дзера Маряна Любомирівна</v>
      </c>
      <c r="I1878" s="1" t="s">
        <v>20</v>
      </c>
      <c r="J1878" s="1" t="str">
        <f t="shared" si="255"/>
        <v>Закрито</v>
      </c>
      <c r="K1878" s="5">
        <v>45614</v>
      </c>
      <c r="L1878" s="1" t="s">
        <v>20</v>
      </c>
      <c r="M1878" s="1" t="s">
        <v>22</v>
      </c>
      <c r="N1878" s="5">
        <v>45614</v>
      </c>
    </row>
    <row r="1879" spans="1:14" x14ac:dyDescent="0.3">
      <c r="A1879" s="1" t="str">
        <f>"1_5879/2129-11/2024/З"</f>
        <v>1_5879/2129-11/2024/З</v>
      </c>
      <c r="B1879" s="6">
        <v>45614</v>
      </c>
      <c r="C1879" s="1" t="str">
        <f>"00038"</f>
        <v>00038</v>
      </c>
      <c r="D187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79" s="1" t="s">
        <v>20</v>
      </c>
      <c r="F1879" s="1" t="str">
        <f t="shared" si="256"/>
        <v>Центр надання адміністративних послуг Рогатинської міської ради</v>
      </c>
      <c r="G1879" s="1" t="str">
        <f t="shared" ref="G1879:G1890" si="257">"Фізична особа"</f>
        <v>Фізична особа</v>
      </c>
      <c r="H1879" s="1" t="s">
        <v>20</v>
      </c>
      <c r="I1879" s="1" t="s">
        <v>20</v>
      </c>
      <c r="J1879" s="1" t="str">
        <f t="shared" si="255"/>
        <v>Закрито</v>
      </c>
      <c r="K1879" s="5">
        <v>45614</v>
      </c>
      <c r="L1879" s="1" t="s">
        <v>20</v>
      </c>
      <c r="M1879" s="1" t="s">
        <v>22</v>
      </c>
      <c r="N1879" s="5">
        <v>45614</v>
      </c>
    </row>
    <row r="1880" spans="1:14" x14ac:dyDescent="0.3">
      <c r="A1880" s="1" t="str">
        <f>"1_5880/2129-11/2024/Т"</f>
        <v>1_5880/2129-11/2024/Т</v>
      </c>
      <c r="B1880" s="6">
        <v>45614</v>
      </c>
      <c r="C1880" s="1" t="str">
        <f>"00038"</f>
        <v>00038</v>
      </c>
      <c r="D188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80" s="1" t="s">
        <v>20</v>
      </c>
      <c r="F1880" s="1" t="str">
        <f t="shared" si="256"/>
        <v>Центр надання адміністративних послуг Рогатинської міської ради</v>
      </c>
      <c r="G1880" s="1" t="str">
        <f t="shared" si="257"/>
        <v>Фізична особа</v>
      </c>
      <c r="H1880" s="1" t="s">
        <v>20</v>
      </c>
      <c r="I1880" s="1" t="s">
        <v>20</v>
      </c>
      <c r="J1880" s="1" t="str">
        <f t="shared" si="255"/>
        <v>Закрито</v>
      </c>
      <c r="K1880" s="5">
        <v>45614</v>
      </c>
      <c r="L1880" s="1" t="s">
        <v>20</v>
      </c>
      <c r="M1880" s="1" t="s">
        <v>22</v>
      </c>
      <c r="N1880" s="5">
        <v>45614</v>
      </c>
    </row>
    <row r="1881" spans="1:14" x14ac:dyDescent="0.3">
      <c r="A1881" s="1" t="str">
        <f>"1_5881/2129-11/2024/Т"</f>
        <v>1_5881/2129-11/2024/Т</v>
      </c>
      <c r="B1881" s="6">
        <v>45614</v>
      </c>
      <c r="C1881" s="1" t="str">
        <f>"00038"</f>
        <v>00038</v>
      </c>
      <c r="D188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81" s="1" t="s">
        <v>20</v>
      </c>
      <c r="F1881" s="1" t="str">
        <f t="shared" si="256"/>
        <v>Центр надання адміністративних послуг Рогатинської міської ради</v>
      </c>
      <c r="G1881" s="1" t="str">
        <f t="shared" si="257"/>
        <v>Фізична особа</v>
      </c>
      <c r="H1881" s="1" t="s">
        <v>20</v>
      </c>
      <c r="I1881" s="1" t="s">
        <v>20</v>
      </c>
      <c r="J1881" s="1" t="str">
        <f t="shared" si="255"/>
        <v>Закрито</v>
      </c>
      <c r="K1881" s="5">
        <v>45614</v>
      </c>
      <c r="L1881" s="1" t="s">
        <v>20</v>
      </c>
      <c r="M1881" s="1" t="s">
        <v>22</v>
      </c>
      <c r="N1881" s="5">
        <v>45614</v>
      </c>
    </row>
    <row r="1882" spans="1:14" x14ac:dyDescent="0.3">
      <c r="A1882" s="1" t="str">
        <f>"1_5882/2129-11/2024/Ч"</f>
        <v>1_5882/2129-11/2024/Ч</v>
      </c>
      <c r="B1882" s="6">
        <v>45614</v>
      </c>
      <c r="C1882" s="1" t="str">
        <f>"00038"</f>
        <v>00038</v>
      </c>
      <c r="D188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82" s="1" t="s">
        <v>20</v>
      </c>
      <c r="F1882" s="1" t="str">
        <f t="shared" si="256"/>
        <v>Центр надання адміністративних послуг Рогатинської міської ради</v>
      </c>
      <c r="G1882" s="1" t="str">
        <f t="shared" si="257"/>
        <v>Фізична особа</v>
      </c>
      <c r="H1882" s="1" t="s">
        <v>20</v>
      </c>
      <c r="I1882" s="1" t="s">
        <v>20</v>
      </c>
      <c r="J1882" s="1" t="str">
        <f t="shared" si="255"/>
        <v>Закрито</v>
      </c>
      <c r="K1882" s="5">
        <v>45614</v>
      </c>
      <c r="L1882" s="1" t="s">
        <v>20</v>
      </c>
      <c r="M1882" s="1" t="s">
        <v>22</v>
      </c>
      <c r="N1882" s="5">
        <v>45614</v>
      </c>
    </row>
    <row r="1883" spans="1:14" x14ac:dyDescent="0.3">
      <c r="A1883" s="1" t="str">
        <f>"1_5883/2129-11/2024/Л"</f>
        <v>1_5883/2129-11/2024/Л</v>
      </c>
      <c r="B1883" s="6">
        <v>45614</v>
      </c>
      <c r="C1883" s="1" t="str">
        <f>"00038"</f>
        <v>00038</v>
      </c>
      <c r="D188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83" s="1" t="s">
        <v>20</v>
      </c>
      <c r="F1883" s="1" t="str">
        <f t="shared" si="256"/>
        <v>Центр надання адміністративних послуг Рогатинської міської ради</v>
      </c>
      <c r="G1883" s="1" t="str">
        <f t="shared" si="257"/>
        <v>Фізична особа</v>
      </c>
      <c r="H1883" s="1" t="s">
        <v>20</v>
      </c>
      <c r="I1883" s="1" t="s">
        <v>20</v>
      </c>
      <c r="J1883" s="1" t="str">
        <f t="shared" si="255"/>
        <v>Закрито</v>
      </c>
      <c r="K1883" s="5">
        <v>45614</v>
      </c>
      <c r="L1883" s="1" t="s">
        <v>20</v>
      </c>
      <c r="M1883" s="1" t="s">
        <v>22</v>
      </c>
      <c r="N1883" s="5">
        <v>45614</v>
      </c>
    </row>
    <row r="1884" spans="1:14" x14ac:dyDescent="0.3">
      <c r="A1884" s="1" t="str">
        <f>"1_5884/2129-11/2024/С"</f>
        <v>1_5884/2129-11/2024/С</v>
      </c>
      <c r="B1884" s="6">
        <v>45614</v>
      </c>
      <c r="C1884" s="1" t="str">
        <f>"33"</f>
        <v>33</v>
      </c>
      <c r="D1884" s="2" t="str">
        <f>"33 Довідки різного характеру"</f>
        <v>33 Довідки різного характеру</v>
      </c>
      <c r="E1884" s="1" t="s">
        <v>20</v>
      </c>
      <c r="F1884" s="1" t="str">
        <f t="shared" si="256"/>
        <v>Центр надання адміністративних послуг Рогатинської міської ради</v>
      </c>
      <c r="G1884" s="1" t="str">
        <f t="shared" si="257"/>
        <v>Фізична особа</v>
      </c>
      <c r="H1884" s="1" t="s">
        <v>20</v>
      </c>
      <c r="I1884" s="1" t="s">
        <v>20</v>
      </c>
      <c r="J1884" s="1" t="str">
        <f t="shared" si="255"/>
        <v>Закрито</v>
      </c>
      <c r="K1884" s="5">
        <v>45614</v>
      </c>
      <c r="L1884" s="1" t="s">
        <v>20</v>
      </c>
      <c r="M1884" s="1" t="s">
        <v>22</v>
      </c>
      <c r="N1884" s="5">
        <v>45614</v>
      </c>
    </row>
    <row r="1885" spans="1:14" x14ac:dyDescent="0.3">
      <c r="A1885" s="1" t="str">
        <f>"12_876-11/2024/М"</f>
        <v>12_876-11/2024/М</v>
      </c>
      <c r="B1885" s="6">
        <v>45614</v>
      </c>
      <c r="C1885" s="1" t="str">
        <f>"00038"</f>
        <v>00038</v>
      </c>
      <c r="D188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85" s="1" t="s">
        <v>20</v>
      </c>
      <c r="F1885" s="1" t="str">
        <f t="shared" si="256"/>
        <v>Центр надання адміністративних послуг Рогатинської міської ради</v>
      </c>
      <c r="G1885" s="1" t="str">
        <f t="shared" si="257"/>
        <v>Фізична особа</v>
      </c>
      <c r="H1885" s="1" t="s">
        <v>20</v>
      </c>
      <c r="I1885" s="1" t="s">
        <v>20</v>
      </c>
      <c r="J1885" s="1" t="str">
        <f t="shared" si="255"/>
        <v>Закрито</v>
      </c>
      <c r="K1885" s="5">
        <v>45614</v>
      </c>
      <c r="L1885" s="1" t="s">
        <v>20</v>
      </c>
      <c r="M1885" s="1" t="s">
        <v>22</v>
      </c>
      <c r="N1885" s="5">
        <v>45614</v>
      </c>
    </row>
    <row r="1886" spans="1:14" x14ac:dyDescent="0.3">
      <c r="A1886" s="1" t="str">
        <f>"12_877-11/2024/М"</f>
        <v>12_877-11/2024/М</v>
      </c>
      <c r="B1886" s="6">
        <v>45614</v>
      </c>
      <c r="C1886" s="1" t="str">
        <f>"00155"</f>
        <v>00155</v>
      </c>
      <c r="D1886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886" s="1" t="str">
        <f>"03193413"</f>
        <v>03193413</v>
      </c>
      <c r="F188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886" s="1" t="str">
        <f t="shared" si="257"/>
        <v>Фізична особа</v>
      </c>
      <c r="H1886" s="1" t="s">
        <v>20</v>
      </c>
      <c r="I1886" s="1" t="s">
        <v>20</v>
      </c>
      <c r="J1886" s="1" t="str">
        <f>"На обробці в СНАП"</f>
        <v>На обробці в СНАП</v>
      </c>
      <c r="K1886" s="1" t="s">
        <v>20</v>
      </c>
      <c r="L1886" s="1" t="s">
        <v>20</v>
      </c>
      <c r="M1886" s="1" t="s">
        <v>22</v>
      </c>
      <c r="N1886" s="1" t="s">
        <v>20</v>
      </c>
    </row>
    <row r="1887" spans="1:14" x14ac:dyDescent="0.3">
      <c r="A1887" s="1" t="str">
        <f>"5_485-11/2024/Ш"</f>
        <v>5_485-11/2024/Ш</v>
      </c>
      <c r="B1887" s="6">
        <v>45614</v>
      </c>
      <c r="C1887" s="1" t="str">
        <f>"00034"</f>
        <v>00034</v>
      </c>
      <c r="D1887" s="2" t="str">
        <f>"Реєстрація місця проживання"</f>
        <v>Реєстрація місця проживання</v>
      </c>
      <c r="E1887" s="1" t="s">
        <v>20</v>
      </c>
      <c r="F188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87" s="1" t="str">
        <f t="shared" si="257"/>
        <v>Фізична особа</v>
      </c>
      <c r="H1887" s="1" t="s">
        <v>20</v>
      </c>
      <c r="I1887" s="1" t="s">
        <v>20</v>
      </c>
      <c r="J1887" s="1" t="str">
        <f>"Закрито"</f>
        <v>Закрито</v>
      </c>
      <c r="K1887" s="5">
        <v>45614</v>
      </c>
      <c r="L1887" s="1" t="str">
        <f>"45.42"</f>
        <v>45.42</v>
      </c>
      <c r="M1887" s="1" t="s">
        <v>22</v>
      </c>
      <c r="N1887" s="5">
        <v>45616</v>
      </c>
    </row>
    <row r="1888" spans="1:14" x14ac:dyDescent="0.3">
      <c r="A1888" s="1" t="str">
        <f>"1_5885/2129-11/2024/П"</f>
        <v>1_5885/2129-11/2024/П</v>
      </c>
      <c r="B1888" s="6">
        <v>45614</v>
      </c>
      <c r="C1888" s="1" t="str">
        <f>"00038"</f>
        <v>00038</v>
      </c>
      <c r="D188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88" s="1" t="s">
        <v>20</v>
      </c>
      <c r="F18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88" s="1" t="str">
        <f t="shared" si="257"/>
        <v>Фізична особа</v>
      </c>
      <c r="H1888" s="1" t="s">
        <v>20</v>
      </c>
      <c r="I1888" s="1" t="s">
        <v>20</v>
      </c>
      <c r="J1888" s="1" t="str">
        <f>"Закрито"</f>
        <v>Закрито</v>
      </c>
      <c r="K1888" s="5">
        <v>45614</v>
      </c>
      <c r="L1888" s="1" t="s">
        <v>20</v>
      </c>
      <c r="M1888" s="1" t="s">
        <v>22</v>
      </c>
      <c r="N1888" s="5">
        <v>45614</v>
      </c>
    </row>
    <row r="1889" spans="1:14" x14ac:dyDescent="0.3">
      <c r="A1889" s="1" t="str">
        <f>"5_486-11/2024/Ш"</f>
        <v>5_486-11/2024/Ш</v>
      </c>
      <c r="B1889" s="6">
        <v>45614</v>
      </c>
      <c r="C1889" s="1" t="str">
        <f>"00038"</f>
        <v>00038</v>
      </c>
      <c r="D188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89" s="1" t="s">
        <v>20</v>
      </c>
      <c r="F188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89" s="1" t="str">
        <f t="shared" si="257"/>
        <v>Фізична особа</v>
      </c>
      <c r="H1889" s="1" t="s">
        <v>20</v>
      </c>
      <c r="I1889" s="1" t="s">
        <v>20</v>
      </c>
      <c r="J1889" s="1" t="str">
        <f>"Закрито"</f>
        <v>Закрито</v>
      </c>
      <c r="K1889" s="5">
        <v>45614</v>
      </c>
      <c r="L1889" s="1" t="s">
        <v>20</v>
      </c>
      <c r="M1889" s="1" t="s">
        <v>22</v>
      </c>
      <c r="N1889" s="5">
        <v>45614</v>
      </c>
    </row>
    <row r="1890" spans="1:14" x14ac:dyDescent="0.3">
      <c r="A1890" s="1" t="str">
        <f>"9_1670/04054323-11/2024/Б"</f>
        <v>9_1670/04054323-11/2024/Б</v>
      </c>
      <c r="B1890" s="6">
        <v>45614</v>
      </c>
      <c r="C1890" s="1" t="str">
        <f>"01-1"</f>
        <v>01-1</v>
      </c>
      <c r="D1890" s="2" t="s">
        <v>0</v>
      </c>
      <c r="E1890" s="1" t="str">
        <f>"04054323"</f>
        <v>04054323</v>
      </c>
      <c r="F1890" s="1" t="str">
        <f>"Рогатинська міська рада"</f>
        <v>Рогатинська міська рада</v>
      </c>
      <c r="G1890" s="1" t="str">
        <f t="shared" si="257"/>
        <v>Фізична особа</v>
      </c>
      <c r="H1890" s="1" t="s">
        <v>20</v>
      </c>
      <c r="I1890" s="1" t="s">
        <v>20</v>
      </c>
      <c r="J1890" s="1" t="str">
        <f>"На обробці в СНАП"</f>
        <v>На обробці в СНАП</v>
      </c>
      <c r="K1890" s="1" t="s">
        <v>20</v>
      </c>
      <c r="L1890" s="1" t="s">
        <v>20</v>
      </c>
      <c r="M1890" s="1" t="s">
        <v>22</v>
      </c>
      <c r="N1890" s="1" t="s">
        <v>20</v>
      </c>
    </row>
    <row r="1891" spans="1:14" x14ac:dyDescent="0.3">
      <c r="A1891" s="1" t="str">
        <f>"1_710-11/2024/"""</f>
        <v>1_710-11/2024/"</v>
      </c>
      <c r="B1891" s="6">
        <v>45614</v>
      </c>
      <c r="C1891" s="1" t="str">
        <f>"01297"</f>
        <v>01297</v>
      </c>
      <c r="D1891" s="2" t="str">
        <f>"Видача довідок-характеристик на громадян"</f>
        <v>Видача довідок-характеристик на громадян</v>
      </c>
      <c r="E1891" s="1" t="s">
        <v>20</v>
      </c>
      <c r="F1891" s="1" t="str">
        <f t="shared" ref="F1891:F1905" si="258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891" s="1" t="str">
        <f>"Юридична особа"</f>
        <v>Юридична особа</v>
      </c>
      <c r="H1891" s="1" t="str">
        <f>"""Центр пробації"" в Івано-Франківській області Івано-Франківський районний сектор №3"</f>
        <v>"Центр пробації" в Івано-Франківській області Івано-Франківський районний сектор №3</v>
      </c>
      <c r="I1891" s="1" t="s">
        <v>20</v>
      </c>
      <c r="J1891" s="1" t="str">
        <f t="shared" ref="J1891:J1905" si="259">"Закрито"</f>
        <v>Закрито</v>
      </c>
      <c r="K1891" s="5">
        <v>45614</v>
      </c>
      <c r="L1891" s="1" t="s">
        <v>20</v>
      </c>
      <c r="M1891" s="1" t="s">
        <v>22</v>
      </c>
      <c r="N1891" s="5">
        <v>45614</v>
      </c>
    </row>
    <row r="1892" spans="1:14" x14ac:dyDescent="0.3">
      <c r="A1892" s="1" t="str">
        <f>"20_178-11/2024/С"</f>
        <v>20_178-11/2024/С</v>
      </c>
      <c r="B1892" s="6">
        <v>45614</v>
      </c>
      <c r="C1892" s="1" t="str">
        <f>"00038"</f>
        <v>00038</v>
      </c>
      <c r="D189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92" s="1" t="s">
        <v>20</v>
      </c>
      <c r="F1892" s="1" t="str">
        <f t="shared" si="258"/>
        <v>Центр надання адміністративних послуг Рогатинської міської ради</v>
      </c>
      <c r="G1892" s="1" t="str">
        <f t="shared" ref="G1892:G1930" si="260">"Фізична особа"</f>
        <v>Фізична особа</v>
      </c>
      <c r="H1892" s="1" t="s">
        <v>20</v>
      </c>
      <c r="I1892" s="1" t="s">
        <v>20</v>
      </c>
      <c r="J1892" s="1" t="str">
        <f t="shared" si="259"/>
        <v>Закрито</v>
      </c>
      <c r="K1892" s="5">
        <v>45614</v>
      </c>
      <c r="L1892" s="1" t="s">
        <v>20</v>
      </c>
      <c r="M1892" s="1" t="s">
        <v>22</v>
      </c>
      <c r="N1892" s="5">
        <v>45614</v>
      </c>
    </row>
    <row r="1893" spans="1:14" x14ac:dyDescent="0.3">
      <c r="A1893" s="1" t="str">
        <f>"1_711-11/2024/Я"</f>
        <v>1_711-11/2024/Я</v>
      </c>
      <c r="B1893" s="6">
        <v>45614</v>
      </c>
      <c r="C1893" s="1" t="str">
        <f>"00038"</f>
        <v>00038</v>
      </c>
      <c r="D189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93" s="1" t="s">
        <v>20</v>
      </c>
      <c r="F1893" s="1" t="str">
        <f t="shared" si="258"/>
        <v>Центр надання адміністративних послуг Рогатинської міської ради</v>
      </c>
      <c r="G1893" s="1" t="str">
        <f t="shared" si="260"/>
        <v>Фізична особа</v>
      </c>
      <c r="H1893" s="1" t="s">
        <v>20</v>
      </c>
      <c r="I1893" s="1" t="s">
        <v>20</v>
      </c>
      <c r="J1893" s="1" t="str">
        <f t="shared" si="259"/>
        <v>Закрито</v>
      </c>
      <c r="K1893" s="5">
        <v>45614</v>
      </c>
      <c r="L1893" s="1" t="s">
        <v>20</v>
      </c>
      <c r="M1893" s="1" t="s">
        <v>22</v>
      </c>
      <c r="N1893" s="5">
        <v>45614</v>
      </c>
    </row>
    <row r="1894" spans="1:14" x14ac:dyDescent="0.3">
      <c r="A1894" s="1" t="str">
        <f>"15_344-11/2024/Щ"</f>
        <v>15_344-11/2024/Щ</v>
      </c>
      <c r="B1894" s="6">
        <v>45614</v>
      </c>
      <c r="C1894" s="1" t="str">
        <f>"33"</f>
        <v>33</v>
      </c>
      <c r="D1894" s="2" t="str">
        <f>"33 Довідки різного характеру"</f>
        <v>33 Довідки різного характеру</v>
      </c>
      <c r="E1894" s="1" t="s">
        <v>20</v>
      </c>
      <c r="F1894" s="1" t="str">
        <f t="shared" si="258"/>
        <v>Центр надання адміністративних послуг Рогатинської міської ради</v>
      </c>
      <c r="G1894" s="1" t="str">
        <f t="shared" si="260"/>
        <v>Фізична особа</v>
      </c>
      <c r="H1894" s="1" t="s">
        <v>20</v>
      </c>
      <c r="I1894" s="1" t="s">
        <v>20</v>
      </c>
      <c r="J1894" s="1" t="str">
        <f t="shared" si="259"/>
        <v>Закрито</v>
      </c>
      <c r="K1894" s="5">
        <v>45614</v>
      </c>
      <c r="L1894" s="1" t="s">
        <v>20</v>
      </c>
      <c r="M1894" s="1" t="s">
        <v>22</v>
      </c>
      <c r="N1894" s="5">
        <v>45614</v>
      </c>
    </row>
    <row r="1895" spans="1:14" x14ac:dyDescent="0.3">
      <c r="A1895" s="1" t="str">
        <f>"1_5886/2129-11/2024/Ф"</f>
        <v>1_5886/2129-11/2024/Ф</v>
      </c>
      <c r="B1895" s="6">
        <v>45614</v>
      </c>
      <c r="C1895" s="1" t="str">
        <f t="shared" ref="C1895:C1900" si="261">"00038"</f>
        <v>00038</v>
      </c>
      <c r="D1895" s="2" t="str">
        <f t="shared" ref="D1895:D1900" si="262"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895" s="1" t="s">
        <v>20</v>
      </c>
      <c r="F1895" s="1" t="str">
        <f t="shared" si="258"/>
        <v>Центр надання адміністративних послуг Рогатинської міської ради</v>
      </c>
      <c r="G1895" s="1" t="str">
        <f t="shared" si="260"/>
        <v>Фізична особа</v>
      </c>
      <c r="H1895" s="1" t="s">
        <v>20</v>
      </c>
      <c r="I1895" s="1" t="s">
        <v>20</v>
      </c>
      <c r="J1895" s="1" t="str">
        <f t="shared" si="259"/>
        <v>Закрито</v>
      </c>
      <c r="K1895" s="5">
        <v>45614</v>
      </c>
      <c r="L1895" s="1" t="s">
        <v>20</v>
      </c>
      <c r="M1895" s="1" t="s">
        <v>22</v>
      </c>
      <c r="N1895" s="5">
        <v>45614</v>
      </c>
    </row>
    <row r="1896" spans="1:14" x14ac:dyDescent="0.3">
      <c r="A1896" s="1" t="str">
        <f>"31_487-11/2024/Л"</f>
        <v>31_487-11/2024/Л</v>
      </c>
      <c r="B1896" s="6">
        <v>45614</v>
      </c>
      <c r="C1896" s="1" t="str">
        <f t="shared" si="261"/>
        <v>00038</v>
      </c>
      <c r="D1896" s="2" t="str">
        <f t="shared" si="262"/>
        <v>Видача довідки про реєстрацію місця проживання або місця перебування особи</v>
      </c>
      <c r="E1896" s="1" t="s">
        <v>20</v>
      </c>
      <c r="F1896" s="1" t="str">
        <f t="shared" si="258"/>
        <v>Центр надання адміністративних послуг Рогатинської міської ради</v>
      </c>
      <c r="G1896" s="1" t="str">
        <f t="shared" si="260"/>
        <v>Фізична особа</v>
      </c>
      <c r="H1896" s="1" t="s">
        <v>20</v>
      </c>
      <c r="I1896" s="1" t="s">
        <v>20</v>
      </c>
      <c r="J1896" s="1" t="str">
        <f t="shared" si="259"/>
        <v>Закрито</v>
      </c>
      <c r="K1896" s="5">
        <v>45614</v>
      </c>
      <c r="L1896" s="1" t="s">
        <v>20</v>
      </c>
      <c r="M1896" s="1" t="s">
        <v>22</v>
      </c>
      <c r="N1896" s="5">
        <v>45614</v>
      </c>
    </row>
    <row r="1897" spans="1:14" x14ac:dyDescent="0.3">
      <c r="A1897" s="1" t="str">
        <f>"1_5887/2129-11/2024/Л"</f>
        <v>1_5887/2129-11/2024/Л</v>
      </c>
      <c r="B1897" s="6">
        <v>45614</v>
      </c>
      <c r="C1897" s="1" t="str">
        <f t="shared" si="261"/>
        <v>00038</v>
      </c>
      <c r="D1897" s="2" t="str">
        <f t="shared" si="262"/>
        <v>Видача довідки про реєстрацію місця проживання або місця перебування особи</v>
      </c>
      <c r="E1897" s="1" t="s">
        <v>20</v>
      </c>
      <c r="F1897" s="1" t="str">
        <f t="shared" si="258"/>
        <v>Центр надання адміністративних послуг Рогатинської міської ради</v>
      </c>
      <c r="G1897" s="1" t="str">
        <f t="shared" si="260"/>
        <v>Фізична особа</v>
      </c>
      <c r="H1897" s="1" t="s">
        <v>20</v>
      </c>
      <c r="I1897" s="1" t="s">
        <v>20</v>
      </c>
      <c r="J1897" s="1" t="str">
        <f t="shared" si="259"/>
        <v>Закрито</v>
      </c>
      <c r="K1897" s="5">
        <v>45614</v>
      </c>
      <c r="L1897" s="1" t="s">
        <v>20</v>
      </c>
      <c r="M1897" s="1" t="s">
        <v>22</v>
      </c>
      <c r="N1897" s="5">
        <v>45614</v>
      </c>
    </row>
    <row r="1898" spans="1:14" x14ac:dyDescent="0.3">
      <c r="A1898" s="1" t="str">
        <f>"1_5888/2129-11/2024/Р"</f>
        <v>1_5888/2129-11/2024/Р</v>
      </c>
      <c r="B1898" s="6">
        <v>45614</v>
      </c>
      <c r="C1898" s="1" t="str">
        <f t="shared" si="261"/>
        <v>00038</v>
      </c>
      <c r="D1898" s="2" t="str">
        <f t="shared" si="262"/>
        <v>Видача довідки про реєстрацію місця проживання або місця перебування особи</v>
      </c>
      <c r="E1898" s="1" t="s">
        <v>20</v>
      </c>
      <c r="F1898" s="1" t="str">
        <f t="shared" si="258"/>
        <v>Центр надання адміністративних послуг Рогатинської міської ради</v>
      </c>
      <c r="G1898" s="1" t="str">
        <f t="shared" si="260"/>
        <v>Фізична особа</v>
      </c>
      <c r="H1898" s="1" t="s">
        <v>20</v>
      </c>
      <c r="I1898" s="1" t="s">
        <v>20</v>
      </c>
      <c r="J1898" s="1" t="str">
        <f t="shared" si="259"/>
        <v>Закрито</v>
      </c>
      <c r="K1898" s="5">
        <v>45614</v>
      </c>
      <c r="L1898" s="1" t="s">
        <v>20</v>
      </c>
      <c r="M1898" s="1" t="s">
        <v>22</v>
      </c>
      <c r="N1898" s="5">
        <v>45614</v>
      </c>
    </row>
    <row r="1899" spans="1:14" x14ac:dyDescent="0.3">
      <c r="A1899" s="1" t="str">
        <f>"31_488-11/2024/Г"</f>
        <v>31_488-11/2024/Г</v>
      </c>
      <c r="B1899" s="6">
        <v>45614</v>
      </c>
      <c r="C1899" s="1" t="str">
        <f t="shared" si="261"/>
        <v>00038</v>
      </c>
      <c r="D1899" s="2" t="str">
        <f t="shared" si="262"/>
        <v>Видача довідки про реєстрацію місця проживання або місця перебування особи</v>
      </c>
      <c r="E1899" s="1" t="s">
        <v>20</v>
      </c>
      <c r="F1899" s="1" t="str">
        <f t="shared" si="258"/>
        <v>Центр надання адміністративних послуг Рогатинської міської ради</v>
      </c>
      <c r="G1899" s="1" t="str">
        <f t="shared" si="260"/>
        <v>Фізична особа</v>
      </c>
      <c r="H1899" s="1" t="s">
        <v>20</v>
      </c>
      <c r="I1899" s="1" t="s">
        <v>20</v>
      </c>
      <c r="J1899" s="1" t="str">
        <f t="shared" si="259"/>
        <v>Закрито</v>
      </c>
      <c r="K1899" s="5">
        <v>45614</v>
      </c>
      <c r="L1899" s="1" t="s">
        <v>20</v>
      </c>
      <c r="M1899" s="1" t="s">
        <v>22</v>
      </c>
      <c r="N1899" s="5">
        <v>45614</v>
      </c>
    </row>
    <row r="1900" spans="1:14" x14ac:dyDescent="0.3">
      <c r="A1900" s="1" t="str">
        <f>"1_5889/2129-11/2024/С"</f>
        <v>1_5889/2129-11/2024/С</v>
      </c>
      <c r="B1900" s="6">
        <v>45614</v>
      </c>
      <c r="C1900" s="1" t="str">
        <f t="shared" si="261"/>
        <v>00038</v>
      </c>
      <c r="D1900" s="2" t="str">
        <f t="shared" si="262"/>
        <v>Видача довідки про реєстрацію місця проживання або місця перебування особи</v>
      </c>
      <c r="E1900" s="1" t="s">
        <v>20</v>
      </c>
      <c r="F1900" s="1" t="str">
        <f t="shared" si="258"/>
        <v>Центр надання адміністративних послуг Рогатинської міської ради</v>
      </c>
      <c r="G1900" s="1" t="str">
        <f t="shared" si="260"/>
        <v>Фізична особа</v>
      </c>
      <c r="H1900" s="1" t="s">
        <v>20</v>
      </c>
      <c r="I1900" s="1" t="s">
        <v>20</v>
      </c>
      <c r="J1900" s="1" t="str">
        <f t="shared" si="259"/>
        <v>Закрито</v>
      </c>
      <c r="K1900" s="5">
        <v>45614</v>
      </c>
      <c r="L1900" s="1" t="s">
        <v>20</v>
      </c>
      <c r="M1900" s="1" t="s">
        <v>22</v>
      </c>
      <c r="N1900" s="5">
        <v>45614</v>
      </c>
    </row>
    <row r="1901" spans="1:14" x14ac:dyDescent="0.3">
      <c r="A1901" s="1" t="str">
        <f>"31_489-11/2024/М"</f>
        <v>31_489-11/2024/М</v>
      </c>
      <c r="B1901" s="6">
        <v>45614</v>
      </c>
      <c r="C1901" s="1" t="str">
        <f>"01313"</f>
        <v>01313</v>
      </c>
      <c r="D1901" s="2" t="str">
        <f>"Видача довідки про підтвердження місця проживання померлого"</f>
        <v>Видача довідки про підтвердження місця проживання померлого</v>
      </c>
      <c r="E1901" s="1" t="s">
        <v>20</v>
      </c>
      <c r="F1901" s="1" t="str">
        <f t="shared" si="258"/>
        <v>Центр надання адміністративних послуг Рогатинської міської ради</v>
      </c>
      <c r="G1901" s="1" t="str">
        <f t="shared" si="260"/>
        <v>Фізична особа</v>
      </c>
      <c r="H1901" s="1" t="s">
        <v>20</v>
      </c>
      <c r="I1901" s="1" t="s">
        <v>20</v>
      </c>
      <c r="J1901" s="1" t="str">
        <f t="shared" si="259"/>
        <v>Закрито</v>
      </c>
      <c r="K1901" s="5">
        <v>45614</v>
      </c>
      <c r="L1901" s="1" t="s">
        <v>20</v>
      </c>
      <c r="M1901" s="1" t="s">
        <v>22</v>
      </c>
      <c r="N1901" s="5">
        <v>45614</v>
      </c>
    </row>
    <row r="1902" spans="1:14" x14ac:dyDescent="0.3">
      <c r="A1902" s="1" t="str">
        <f>"1_5890/2129-11/2024/Р"</f>
        <v>1_5890/2129-11/2024/Р</v>
      </c>
      <c r="B1902" s="6">
        <v>45614</v>
      </c>
      <c r="C1902" s="1" t="str">
        <f>"00038"</f>
        <v>00038</v>
      </c>
      <c r="D190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02" s="1" t="s">
        <v>20</v>
      </c>
      <c r="F1902" s="1" t="str">
        <f t="shared" si="258"/>
        <v>Центр надання адміністративних послуг Рогатинської міської ради</v>
      </c>
      <c r="G1902" s="1" t="str">
        <f t="shared" si="260"/>
        <v>Фізична особа</v>
      </c>
      <c r="H1902" s="1" t="s">
        <v>20</v>
      </c>
      <c r="I1902" s="1" t="s">
        <v>20</v>
      </c>
      <c r="J1902" s="1" t="str">
        <f t="shared" si="259"/>
        <v>Закрито</v>
      </c>
      <c r="K1902" s="5">
        <v>45614</v>
      </c>
      <c r="L1902" s="1" t="s">
        <v>20</v>
      </c>
      <c r="M1902" s="1" t="s">
        <v>22</v>
      </c>
      <c r="N1902" s="5">
        <v>45614</v>
      </c>
    </row>
    <row r="1903" spans="1:14" x14ac:dyDescent="0.3">
      <c r="A1903" s="1" t="str">
        <f>"1_5891/2129-11/2024/Л"</f>
        <v>1_5891/2129-11/2024/Л</v>
      </c>
      <c r="B1903" s="6">
        <v>45614</v>
      </c>
      <c r="C1903" s="1" t="str">
        <f>"00034"</f>
        <v>00034</v>
      </c>
      <c r="D1903" s="2" t="str">
        <f>"Реєстрація місця проживання"</f>
        <v>Реєстрація місця проживання</v>
      </c>
      <c r="E1903" s="1" t="s">
        <v>20</v>
      </c>
      <c r="F1903" s="1" t="str">
        <f t="shared" si="258"/>
        <v>Центр надання адміністративних послуг Рогатинської міської ради</v>
      </c>
      <c r="G1903" s="1" t="str">
        <f t="shared" si="260"/>
        <v>Фізична особа</v>
      </c>
      <c r="H1903" s="1" t="s">
        <v>20</v>
      </c>
      <c r="I1903" s="1" t="s">
        <v>20</v>
      </c>
      <c r="J1903" s="1" t="str">
        <f t="shared" si="259"/>
        <v>Закрито</v>
      </c>
      <c r="K1903" s="5">
        <v>45614</v>
      </c>
      <c r="L1903" s="1" t="str">
        <f>"45.0"</f>
        <v>45.0</v>
      </c>
      <c r="M1903" s="1" t="s">
        <v>22</v>
      </c>
      <c r="N1903" s="5">
        <v>45614</v>
      </c>
    </row>
    <row r="1904" spans="1:14" x14ac:dyDescent="0.3">
      <c r="A1904" s="1" t="str">
        <f>"12_878-11/2024/К"</f>
        <v>12_878-11/2024/К</v>
      </c>
      <c r="B1904" s="6">
        <v>45614</v>
      </c>
      <c r="C1904" s="1" t="str">
        <f>"00038"</f>
        <v>00038</v>
      </c>
      <c r="D190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04" s="1" t="s">
        <v>20</v>
      </c>
      <c r="F1904" s="1" t="str">
        <f t="shared" si="258"/>
        <v>Центр надання адміністративних послуг Рогатинської міської ради</v>
      </c>
      <c r="G1904" s="1" t="str">
        <f t="shared" si="260"/>
        <v>Фізична особа</v>
      </c>
      <c r="H1904" s="1" t="s">
        <v>20</v>
      </c>
      <c r="I1904" s="1" t="s">
        <v>20</v>
      </c>
      <c r="J1904" s="1" t="str">
        <f t="shared" si="259"/>
        <v>Закрито</v>
      </c>
      <c r="K1904" s="5">
        <v>45614</v>
      </c>
      <c r="L1904" s="1" t="s">
        <v>20</v>
      </c>
      <c r="M1904" s="1" t="s">
        <v>22</v>
      </c>
      <c r="N1904" s="5">
        <v>45614</v>
      </c>
    </row>
    <row r="1905" spans="1:14" x14ac:dyDescent="0.3">
      <c r="A1905" s="1" t="str">
        <f>"14_1002-11/2024/С"</f>
        <v>14_1002-11/2024/С</v>
      </c>
      <c r="B1905" s="6">
        <v>45614</v>
      </c>
      <c r="C1905" s="1" t="str">
        <f>"33"</f>
        <v>33</v>
      </c>
      <c r="D1905" s="2" t="str">
        <f>"33 Довідки різного характеру"</f>
        <v>33 Довідки різного характеру</v>
      </c>
      <c r="E1905" s="1" t="s">
        <v>20</v>
      </c>
      <c r="F1905" s="1" t="str">
        <f t="shared" si="258"/>
        <v>Центр надання адміністративних послуг Рогатинської міської ради</v>
      </c>
      <c r="G1905" s="1" t="str">
        <f t="shared" si="260"/>
        <v>Фізична особа</v>
      </c>
      <c r="H1905" s="1" t="s">
        <v>20</v>
      </c>
      <c r="I1905" s="1" t="s">
        <v>20</v>
      </c>
      <c r="J1905" s="1" t="str">
        <f t="shared" si="259"/>
        <v>Закрито</v>
      </c>
      <c r="K1905" s="5">
        <v>45614</v>
      </c>
      <c r="L1905" s="1" t="s">
        <v>20</v>
      </c>
      <c r="M1905" s="1" t="s">
        <v>22</v>
      </c>
      <c r="N1905" s="5">
        <v>45614</v>
      </c>
    </row>
    <row r="1906" spans="1:14" x14ac:dyDescent="0.3">
      <c r="A1906" s="1" t="str">
        <f>"12_879-11/2024/К"</f>
        <v>12_879-11/2024/К</v>
      </c>
      <c r="B1906" s="6">
        <v>45614</v>
      </c>
      <c r="C1906" s="1" t="str">
        <f>"00155"</f>
        <v>00155</v>
      </c>
      <c r="D1906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906" s="1" t="str">
        <f>"03193413"</f>
        <v>03193413</v>
      </c>
      <c r="F190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906" s="1" t="str">
        <f t="shared" si="260"/>
        <v>Фізична особа</v>
      </c>
      <c r="H1906" s="1" t="s">
        <v>20</v>
      </c>
      <c r="I1906" s="1" t="s">
        <v>20</v>
      </c>
      <c r="J1906" s="1" t="str">
        <f>"На обробці в СНАП"</f>
        <v>На обробці в СНАП</v>
      </c>
      <c r="K1906" s="1" t="s">
        <v>20</v>
      </c>
      <c r="L1906" s="1" t="s">
        <v>20</v>
      </c>
      <c r="M1906" s="1" t="s">
        <v>22</v>
      </c>
      <c r="N1906" s="1" t="s">
        <v>20</v>
      </c>
    </row>
    <row r="1907" spans="1:14" x14ac:dyDescent="0.3">
      <c r="A1907" s="1" t="str">
        <f>"9_1671/04054323-11/2024/П"</f>
        <v>9_1671/04054323-11/2024/П</v>
      </c>
      <c r="B1907" s="6">
        <v>45614</v>
      </c>
      <c r="C1907" s="1" t="str">
        <f>"00199"</f>
        <v>00199</v>
      </c>
      <c r="D1907" s="2" t="str">
        <f>"00199 Видача рішення про надання дозволу на розроблення проекту землеустрою щодо відведення земельної ділянки"</f>
        <v>00199 Видача рішення про надання дозволу на розроблення проекту землеустрою щодо відведення земельної ділянки</v>
      </c>
      <c r="E1907" s="1" t="str">
        <f>"04054323"</f>
        <v>04054323</v>
      </c>
      <c r="F1907" s="1" t="str">
        <f>"Рогатинська міська рада"</f>
        <v>Рогатинська міська рада</v>
      </c>
      <c r="G1907" s="1" t="str">
        <f t="shared" si="260"/>
        <v>Фізична особа</v>
      </c>
      <c r="H1907" s="1" t="s">
        <v>20</v>
      </c>
      <c r="I1907" s="1" t="s">
        <v>20</v>
      </c>
      <c r="J1907" s="1" t="str">
        <f t="shared" ref="J1907:J1926" si="263">"Закрито"</f>
        <v>Закрито</v>
      </c>
      <c r="K1907" s="5">
        <v>45621</v>
      </c>
      <c r="L1907" s="1" t="s">
        <v>20</v>
      </c>
      <c r="M1907" s="1" t="s">
        <v>22</v>
      </c>
      <c r="N1907" s="5">
        <v>45621</v>
      </c>
    </row>
    <row r="1908" spans="1:14" x14ac:dyDescent="0.3">
      <c r="A1908" s="1" t="str">
        <f>"9_1672/04054323-11/2024/П"</f>
        <v>9_1672/04054323-11/2024/П</v>
      </c>
      <c r="B1908" s="6">
        <v>45614</v>
      </c>
      <c r="C1908" s="1" t="str">
        <f>"00199"</f>
        <v>00199</v>
      </c>
      <c r="D1908" s="2" t="str">
        <f>"00199 Видача рішення про надання дозволу на розроблення проекту землеустрою щодо відведення земельної ділянки"</f>
        <v>00199 Видача рішення про надання дозволу на розроблення проекту землеустрою щодо відведення земельної ділянки</v>
      </c>
      <c r="E1908" s="1" t="str">
        <f>"04054323"</f>
        <v>04054323</v>
      </c>
      <c r="F1908" s="1" t="str">
        <f>"Рогатинська міська рада"</f>
        <v>Рогатинська міська рада</v>
      </c>
      <c r="G1908" s="1" t="str">
        <f t="shared" si="260"/>
        <v>Фізична особа</v>
      </c>
      <c r="H1908" s="1" t="s">
        <v>20</v>
      </c>
      <c r="I1908" s="1" t="s">
        <v>20</v>
      </c>
      <c r="J1908" s="1" t="str">
        <f t="shared" si="263"/>
        <v>Закрито</v>
      </c>
      <c r="K1908" s="5">
        <v>45621</v>
      </c>
      <c r="L1908" s="1" t="s">
        <v>20</v>
      </c>
      <c r="M1908" s="1" t="s">
        <v>22</v>
      </c>
      <c r="N1908" s="5">
        <v>45621</v>
      </c>
    </row>
    <row r="1909" spans="1:14" x14ac:dyDescent="0.3">
      <c r="A1909" s="1" t="str">
        <f>"14_1003-11/2024/М"</f>
        <v>14_1003-11/2024/М</v>
      </c>
      <c r="B1909" s="6">
        <v>45614</v>
      </c>
      <c r="C1909" s="1" t="str">
        <f>"00038"</f>
        <v>00038</v>
      </c>
      <c r="D190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09" s="1" t="s">
        <v>20</v>
      </c>
      <c r="F1909" s="1" t="str">
        <f t="shared" ref="F1909:F1918" si="264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09" s="1" t="str">
        <f t="shared" si="260"/>
        <v>Фізична особа</v>
      </c>
      <c r="H1909" s="1" t="s">
        <v>20</v>
      </c>
      <c r="I1909" s="1" t="s">
        <v>20</v>
      </c>
      <c r="J1909" s="1" t="str">
        <f t="shared" si="263"/>
        <v>Закрито</v>
      </c>
      <c r="K1909" s="5">
        <v>45614</v>
      </c>
      <c r="L1909" s="1" t="s">
        <v>20</v>
      </c>
      <c r="M1909" s="1" t="s">
        <v>22</v>
      </c>
      <c r="N1909" s="5">
        <v>45614</v>
      </c>
    </row>
    <row r="1910" spans="1:14" x14ac:dyDescent="0.3">
      <c r="A1910" s="1" t="str">
        <f>"14_1004-11/2024/М"</f>
        <v>14_1004-11/2024/М</v>
      </c>
      <c r="B1910" s="6">
        <v>45614</v>
      </c>
      <c r="C1910" s="1" t="str">
        <f>"00038"</f>
        <v>00038</v>
      </c>
      <c r="D191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10" s="1" t="s">
        <v>20</v>
      </c>
      <c r="F1910" s="1" t="str">
        <f t="shared" si="264"/>
        <v>Центр надання адміністративних послуг Рогатинської міської ради</v>
      </c>
      <c r="G1910" s="1" t="str">
        <f t="shared" si="260"/>
        <v>Фізична особа</v>
      </c>
      <c r="H1910" s="1" t="s">
        <v>20</v>
      </c>
      <c r="I1910" s="1" t="s">
        <v>20</v>
      </c>
      <c r="J1910" s="1" t="str">
        <f t="shared" si="263"/>
        <v>Закрито</v>
      </c>
      <c r="K1910" s="5">
        <v>45614</v>
      </c>
      <c r="L1910" s="1" t="s">
        <v>20</v>
      </c>
      <c r="M1910" s="1" t="s">
        <v>22</v>
      </c>
      <c r="N1910" s="5">
        <v>45614</v>
      </c>
    </row>
    <row r="1911" spans="1:14" x14ac:dyDescent="0.3">
      <c r="A1911" s="1" t="str">
        <f>"9_560-11/2024/В"</f>
        <v>9_560-11/2024/В</v>
      </c>
      <c r="B1911" s="6">
        <v>45614</v>
      </c>
      <c r="C1911" s="1" t="str">
        <f>"00038"</f>
        <v>00038</v>
      </c>
      <c r="D191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11" s="1" t="s">
        <v>20</v>
      </c>
      <c r="F1911" s="1" t="str">
        <f t="shared" si="264"/>
        <v>Центр надання адміністративних послуг Рогатинської міської ради</v>
      </c>
      <c r="G1911" s="1" t="str">
        <f t="shared" si="260"/>
        <v>Фізична особа</v>
      </c>
      <c r="H1911" s="1" t="s">
        <v>20</v>
      </c>
      <c r="I1911" s="1" t="s">
        <v>20</v>
      </c>
      <c r="J1911" s="1" t="str">
        <f t="shared" si="263"/>
        <v>Закрито</v>
      </c>
      <c r="K1911" s="5">
        <v>45614</v>
      </c>
      <c r="L1911" s="1" t="s">
        <v>20</v>
      </c>
      <c r="M1911" s="1" t="s">
        <v>22</v>
      </c>
      <c r="N1911" s="5">
        <v>45614</v>
      </c>
    </row>
    <row r="1912" spans="1:14" x14ac:dyDescent="0.3">
      <c r="A1912" s="1" t="str">
        <f>"8_77/2129-11/2024/Г"</f>
        <v>8_77/2129-11/2024/Г</v>
      </c>
      <c r="B1912" s="6">
        <v>45614</v>
      </c>
      <c r="C1912" s="1" t="str">
        <f>"00033"</f>
        <v>00033</v>
      </c>
      <c r="D1912" s="2" t="str">
        <f>"Державна реєстрація смерті"</f>
        <v>Державна реєстрація смерті</v>
      </c>
      <c r="E1912" s="1" t="s">
        <v>20</v>
      </c>
      <c r="F1912" s="1" t="str">
        <f t="shared" si="264"/>
        <v>Центр надання адміністративних послуг Рогатинської міської ради</v>
      </c>
      <c r="G1912" s="1" t="str">
        <f t="shared" si="260"/>
        <v>Фізична особа</v>
      </c>
      <c r="H1912" s="1" t="s">
        <v>20</v>
      </c>
      <c r="I1912" s="1" t="s">
        <v>20</v>
      </c>
      <c r="J1912" s="1" t="str">
        <f t="shared" si="263"/>
        <v>Закрито</v>
      </c>
      <c r="K1912" s="5">
        <v>45614</v>
      </c>
      <c r="L1912" s="1" t="s">
        <v>20</v>
      </c>
      <c r="M1912" s="1" t="s">
        <v>22</v>
      </c>
      <c r="N1912" s="5">
        <v>45614</v>
      </c>
    </row>
    <row r="1913" spans="1:14" x14ac:dyDescent="0.3">
      <c r="A1913" s="1" t="str">
        <f>"1_5892/2129-11/2024/Г"</f>
        <v>1_5892/2129-11/2024/Г</v>
      </c>
      <c r="B1913" s="6">
        <v>45614</v>
      </c>
      <c r="C1913" s="1" t="str">
        <f>"00037"</f>
        <v>00037</v>
      </c>
      <c r="D1913" s="2" t="str">
        <f>"Зняття з реєстрації місця проживання"</f>
        <v>Зняття з реєстрації місця проживання</v>
      </c>
      <c r="E1913" s="1" t="s">
        <v>20</v>
      </c>
      <c r="F1913" s="1" t="str">
        <f t="shared" si="264"/>
        <v>Центр надання адміністративних послуг Рогатинської міської ради</v>
      </c>
      <c r="G1913" s="1" t="str">
        <f t="shared" si="260"/>
        <v>Фізична особа</v>
      </c>
      <c r="H1913" s="1" t="s">
        <v>20</v>
      </c>
      <c r="I1913" s="1" t="s">
        <v>20</v>
      </c>
      <c r="J1913" s="1" t="str">
        <f t="shared" si="263"/>
        <v>Закрито</v>
      </c>
      <c r="K1913" s="5">
        <v>45614</v>
      </c>
      <c r="L1913" s="1" t="s">
        <v>20</v>
      </c>
      <c r="M1913" s="1" t="s">
        <v>22</v>
      </c>
      <c r="N1913" s="5">
        <v>45614</v>
      </c>
    </row>
    <row r="1914" spans="1:14" x14ac:dyDescent="0.3">
      <c r="A1914" s="1" t="str">
        <f>"9_561-11/2024/Л"</f>
        <v>9_561-11/2024/Л</v>
      </c>
      <c r="B1914" s="6">
        <v>45614</v>
      </c>
      <c r="C1914" s="1" t="str">
        <f>"00038"</f>
        <v>00038</v>
      </c>
      <c r="D191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14" s="1" t="s">
        <v>20</v>
      </c>
      <c r="F1914" s="1" t="str">
        <f t="shared" si="264"/>
        <v>Центр надання адміністративних послуг Рогатинської міської ради</v>
      </c>
      <c r="G1914" s="1" t="str">
        <f t="shared" si="260"/>
        <v>Фізична особа</v>
      </c>
      <c r="H1914" s="1" t="s">
        <v>20</v>
      </c>
      <c r="I1914" s="1" t="s">
        <v>20</v>
      </c>
      <c r="J1914" s="1" t="str">
        <f t="shared" si="263"/>
        <v>Закрито</v>
      </c>
      <c r="K1914" s="5">
        <v>45614</v>
      </c>
      <c r="L1914" s="1" t="s">
        <v>20</v>
      </c>
      <c r="M1914" s="1" t="s">
        <v>22</v>
      </c>
      <c r="N1914" s="5">
        <v>45614</v>
      </c>
    </row>
    <row r="1915" spans="1:14" x14ac:dyDescent="0.3">
      <c r="A1915" s="1" t="str">
        <f>"9_562-11/2024/Л"</f>
        <v>9_562-11/2024/Л</v>
      </c>
      <c r="B1915" s="6">
        <v>45614</v>
      </c>
      <c r="C1915" s="1" t="str">
        <f>"33"</f>
        <v>33</v>
      </c>
      <c r="D1915" s="2" t="str">
        <f>"33 Довідки різного характеру"</f>
        <v>33 Довідки різного характеру</v>
      </c>
      <c r="E1915" s="1" t="s">
        <v>20</v>
      </c>
      <c r="F1915" s="1" t="str">
        <f t="shared" si="264"/>
        <v>Центр надання адміністративних послуг Рогатинської міської ради</v>
      </c>
      <c r="G1915" s="1" t="str">
        <f t="shared" si="260"/>
        <v>Фізична особа</v>
      </c>
      <c r="H1915" s="1" t="s">
        <v>20</v>
      </c>
      <c r="I1915" s="1" t="s">
        <v>20</v>
      </c>
      <c r="J1915" s="1" t="str">
        <f t="shared" si="263"/>
        <v>Закрито</v>
      </c>
      <c r="K1915" s="5">
        <v>45614</v>
      </c>
      <c r="L1915" s="1" t="s">
        <v>20</v>
      </c>
      <c r="M1915" s="1" t="s">
        <v>22</v>
      </c>
      <c r="N1915" s="5">
        <v>45614</v>
      </c>
    </row>
    <row r="1916" spans="1:14" x14ac:dyDescent="0.3">
      <c r="A1916" s="1" t="str">
        <f>"1_712-11/2024/Я"</f>
        <v>1_712-11/2024/Я</v>
      </c>
      <c r="B1916" s="6">
        <v>45614</v>
      </c>
      <c r="C1916" s="1" t="str">
        <f>"00038"</f>
        <v>00038</v>
      </c>
      <c r="D191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16" s="1" t="s">
        <v>20</v>
      </c>
      <c r="F1916" s="1" t="str">
        <f t="shared" si="264"/>
        <v>Центр надання адміністративних послуг Рогатинської міської ради</v>
      </c>
      <c r="G1916" s="1" t="str">
        <f t="shared" si="260"/>
        <v>Фізична особа</v>
      </c>
      <c r="H1916" s="1" t="s">
        <v>20</v>
      </c>
      <c r="I1916" s="1" t="s">
        <v>20</v>
      </c>
      <c r="J1916" s="1" t="str">
        <f t="shared" si="263"/>
        <v>Закрито</v>
      </c>
      <c r="K1916" s="5">
        <v>45614</v>
      </c>
      <c r="L1916" s="1" t="s">
        <v>20</v>
      </c>
      <c r="M1916" s="1" t="s">
        <v>22</v>
      </c>
      <c r="N1916" s="5">
        <v>45614</v>
      </c>
    </row>
    <row r="1917" spans="1:14" x14ac:dyDescent="0.3">
      <c r="A1917" s="1" t="str">
        <f>"20_179-11/2024/Ж"</f>
        <v>20_179-11/2024/Ж</v>
      </c>
      <c r="B1917" s="6">
        <v>45614</v>
      </c>
      <c r="C1917" s="1" t="str">
        <f>"01841"</f>
        <v>01841</v>
      </c>
      <c r="D1917" s="2" t="str">
        <f>"Видача довідки про реєстрацію та проживання особи станом на 15.04.1991 року"</f>
        <v>Видача довідки про реєстрацію та проживання особи станом на 15.04.1991 року</v>
      </c>
      <c r="E1917" s="1" t="s">
        <v>20</v>
      </c>
      <c r="F1917" s="1" t="str">
        <f t="shared" si="264"/>
        <v>Центр надання адміністративних послуг Рогатинської міської ради</v>
      </c>
      <c r="G1917" s="1" t="str">
        <f t="shared" si="260"/>
        <v>Фізична особа</v>
      </c>
      <c r="H1917" s="1" t="s">
        <v>20</v>
      </c>
      <c r="I1917" s="1" t="s">
        <v>20</v>
      </c>
      <c r="J1917" s="1" t="str">
        <f t="shared" si="263"/>
        <v>Закрито</v>
      </c>
      <c r="K1917" s="5">
        <v>45614</v>
      </c>
      <c r="L1917" s="1" t="s">
        <v>20</v>
      </c>
      <c r="M1917" s="1" t="s">
        <v>22</v>
      </c>
      <c r="N1917" s="5">
        <v>45614</v>
      </c>
    </row>
    <row r="1918" spans="1:14" x14ac:dyDescent="0.3">
      <c r="A1918" s="1" t="str">
        <f>"1_713-11/2024/Я"</f>
        <v>1_713-11/2024/Я</v>
      </c>
      <c r="B1918" s="6">
        <v>45614</v>
      </c>
      <c r="C1918" s="1" t="str">
        <f>"00038"</f>
        <v>00038</v>
      </c>
      <c r="D191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18" s="1" t="s">
        <v>20</v>
      </c>
      <c r="F1918" s="1" t="str">
        <f t="shared" si="264"/>
        <v>Центр надання адміністративних послуг Рогатинської міської ради</v>
      </c>
      <c r="G1918" s="1" t="str">
        <f t="shared" si="260"/>
        <v>Фізична особа</v>
      </c>
      <c r="H1918" s="1" t="s">
        <v>20</v>
      </c>
      <c r="I1918" s="1" t="s">
        <v>20</v>
      </c>
      <c r="J1918" s="1" t="str">
        <f t="shared" si="263"/>
        <v>Закрито</v>
      </c>
      <c r="K1918" s="5">
        <v>45614</v>
      </c>
      <c r="L1918" s="1" t="s">
        <v>20</v>
      </c>
      <c r="M1918" s="1" t="s">
        <v>22</v>
      </c>
      <c r="N1918" s="5">
        <v>45614</v>
      </c>
    </row>
    <row r="1919" spans="1:14" x14ac:dyDescent="0.3">
      <c r="A1919" s="1" t="str">
        <f>"3_861-11/2024/В"</f>
        <v>3_861-11/2024/В</v>
      </c>
      <c r="B1919" s="6">
        <v>45614</v>
      </c>
      <c r="C1919" s="1" t="str">
        <f>"00103"</f>
        <v>00103</v>
      </c>
      <c r="D1919" s="2" t="s">
        <v>1</v>
      </c>
      <c r="E1919" s="1" t="str">
        <f>"03193413"</f>
        <v>03193413</v>
      </c>
      <c r="F191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919" s="1" t="str">
        <f t="shared" si="260"/>
        <v>Фізична особа</v>
      </c>
      <c r="H1919" s="1" t="s">
        <v>20</v>
      </c>
      <c r="I1919" s="1" t="s">
        <v>20</v>
      </c>
      <c r="J1919" s="1" t="str">
        <f t="shared" si="263"/>
        <v>Закрито</v>
      </c>
      <c r="K1919" s="5">
        <v>45625</v>
      </c>
      <c r="L1919" s="1" t="s">
        <v>20</v>
      </c>
      <c r="M1919" s="1" t="s">
        <v>22</v>
      </c>
      <c r="N1919" s="5">
        <v>45625</v>
      </c>
    </row>
    <row r="1920" spans="1:14" x14ac:dyDescent="0.3">
      <c r="A1920" s="1" t="str">
        <f>"33_416-11/2024/К"</f>
        <v>33_416-11/2024/К</v>
      </c>
      <c r="B1920" s="6">
        <v>45614</v>
      </c>
      <c r="C1920" s="1" t="str">
        <f>"00034"</f>
        <v>00034</v>
      </c>
      <c r="D1920" s="2" t="str">
        <f>"Реєстрація місця проживання"</f>
        <v>Реєстрація місця проживання</v>
      </c>
      <c r="E1920" s="1" t="s">
        <v>20</v>
      </c>
      <c r="F192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20" s="1" t="str">
        <f t="shared" si="260"/>
        <v>Фізична особа</v>
      </c>
      <c r="H1920" s="1" t="s">
        <v>20</v>
      </c>
      <c r="I1920" s="1" t="s">
        <v>20</v>
      </c>
      <c r="J1920" s="1" t="str">
        <f t="shared" si="263"/>
        <v>Закрито</v>
      </c>
      <c r="K1920" s="5">
        <v>45614</v>
      </c>
      <c r="L1920" s="1" t="str">
        <f>"45.5"</f>
        <v>45.5</v>
      </c>
      <c r="M1920" s="1" t="s">
        <v>22</v>
      </c>
      <c r="N1920" s="5">
        <v>45617</v>
      </c>
    </row>
    <row r="1921" spans="1:14" x14ac:dyDescent="0.3">
      <c r="A1921" s="1" t="str">
        <f>"1_714-11/2024/Я"</f>
        <v>1_714-11/2024/Я</v>
      </c>
      <c r="B1921" s="6">
        <v>45614</v>
      </c>
      <c r="C1921" s="1" t="str">
        <f>"00064"</f>
        <v>00064</v>
      </c>
      <c r="D1921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921" s="1" t="s">
        <v>20</v>
      </c>
      <c r="F1921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921" s="1" t="str">
        <f t="shared" si="260"/>
        <v>Фізична особа</v>
      </c>
      <c r="H1921" s="1" t="s">
        <v>20</v>
      </c>
      <c r="I1921" s="1" t="s">
        <v>20</v>
      </c>
      <c r="J1921" s="1" t="str">
        <f t="shared" si="263"/>
        <v>Закрито</v>
      </c>
      <c r="K1921" s="5">
        <v>45614</v>
      </c>
      <c r="L1921" s="1" t="s">
        <v>20</v>
      </c>
      <c r="M1921" s="1" t="s">
        <v>22</v>
      </c>
      <c r="N1921" s="5">
        <v>45614</v>
      </c>
    </row>
    <row r="1922" spans="1:14" x14ac:dyDescent="0.3">
      <c r="A1922" s="1" t="str">
        <f>"23_448-11/2024/Г"</f>
        <v>23_448-11/2024/Г</v>
      </c>
      <c r="B1922" s="6">
        <v>45614</v>
      </c>
      <c r="C1922" s="1" t="str">
        <f>"33"</f>
        <v>33</v>
      </c>
      <c r="D1922" s="2" t="str">
        <f>"33 Довідки різного характеру"</f>
        <v>33 Довідки різного характеру</v>
      </c>
      <c r="E1922" s="1" t="s">
        <v>20</v>
      </c>
      <c r="F192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22" s="1" t="str">
        <f t="shared" si="260"/>
        <v>Фізична особа</v>
      </c>
      <c r="H1922" s="1" t="s">
        <v>20</v>
      </c>
      <c r="I1922" s="1" t="s">
        <v>20</v>
      </c>
      <c r="J1922" s="1" t="str">
        <f t="shared" si="263"/>
        <v>Закрито</v>
      </c>
      <c r="K1922" s="5">
        <v>45614</v>
      </c>
      <c r="L1922" s="1" t="s">
        <v>20</v>
      </c>
      <c r="M1922" s="1" t="s">
        <v>22</v>
      </c>
      <c r="N1922" s="5">
        <v>45614</v>
      </c>
    </row>
    <row r="1923" spans="1:14" x14ac:dyDescent="0.3">
      <c r="A1923" s="1" t="str">
        <f>"1_715-11/2024/Я"</f>
        <v>1_715-11/2024/Я</v>
      </c>
      <c r="B1923" s="6">
        <v>45614</v>
      </c>
      <c r="C1923" s="1" t="str">
        <f>"00103"</f>
        <v>00103</v>
      </c>
      <c r="D1923" s="2" t="s">
        <v>1</v>
      </c>
      <c r="E1923" s="1" t="str">
        <f>"03193413"</f>
        <v>03193413</v>
      </c>
      <c r="F192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923" s="1" t="str">
        <f t="shared" si="260"/>
        <v>Фізична особа</v>
      </c>
      <c r="H1923" s="1" t="s">
        <v>20</v>
      </c>
      <c r="I1923" s="1" t="s">
        <v>20</v>
      </c>
      <c r="J1923" s="1" t="str">
        <f t="shared" si="263"/>
        <v>Закрито</v>
      </c>
      <c r="K1923" s="5">
        <v>45653</v>
      </c>
      <c r="L1923" s="1" t="s">
        <v>20</v>
      </c>
      <c r="M1923" s="1" t="s">
        <v>22</v>
      </c>
      <c r="N1923" s="5">
        <v>45653</v>
      </c>
    </row>
    <row r="1924" spans="1:14" x14ac:dyDescent="0.3">
      <c r="A1924" s="1" t="str">
        <f>"1_716-11/2024/Г"</f>
        <v>1_716-11/2024/Г</v>
      </c>
      <c r="B1924" s="6">
        <v>45614</v>
      </c>
      <c r="C1924" s="1" t="str">
        <f>"00038"</f>
        <v>00038</v>
      </c>
      <c r="D192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24" s="1" t="s">
        <v>20</v>
      </c>
      <c r="F19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24" s="1" t="str">
        <f t="shared" si="260"/>
        <v>Фізична особа</v>
      </c>
      <c r="H1924" s="1" t="s">
        <v>20</v>
      </c>
      <c r="I1924" s="1" t="s">
        <v>20</v>
      </c>
      <c r="J1924" s="1" t="str">
        <f t="shared" si="263"/>
        <v>Закрито</v>
      </c>
      <c r="K1924" s="5">
        <v>45614</v>
      </c>
      <c r="L1924" s="1" t="s">
        <v>20</v>
      </c>
      <c r="M1924" s="1" t="s">
        <v>22</v>
      </c>
      <c r="N1924" s="5">
        <v>45614</v>
      </c>
    </row>
    <row r="1925" spans="1:14" x14ac:dyDescent="0.3">
      <c r="A1925" s="1" t="str">
        <f>"1_717-11/2024/Г"</f>
        <v>1_717-11/2024/Г</v>
      </c>
      <c r="B1925" s="6">
        <v>45614</v>
      </c>
      <c r="C1925" s="1" t="str">
        <f>"00143"</f>
        <v>00143</v>
      </c>
      <c r="D1925" s="2" t="str">
        <f>"Призначення державної допомоги у зв’язку з вагітністю та пологами жінкам, які не застраховані в системі загальнообов’язкового державного соціального страхування"</f>
        <v>Призначення державної допомоги у зв’язку з вагітністю та пологами жінкам, які не застраховані в системі загальнообов’язкового державного соціального страхування</v>
      </c>
      <c r="E1925" s="1" t="str">
        <f>"03193413"</f>
        <v>03193413</v>
      </c>
      <c r="F192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925" s="1" t="str">
        <f t="shared" si="260"/>
        <v>Фізична особа</v>
      </c>
      <c r="H1925" s="1" t="s">
        <v>20</v>
      </c>
      <c r="I1925" s="1" t="s">
        <v>20</v>
      </c>
      <c r="J1925" s="1" t="str">
        <f t="shared" si="263"/>
        <v>Закрито</v>
      </c>
      <c r="K1925" s="5">
        <v>45653</v>
      </c>
      <c r="L1925" s="1" t="s">
        <v>20</v>
      </c>
      <c r="M1925" s="1" t="s">
        <v>22</v>
      </c>
      <c r="N1925" s="5">
        <v>45653</v>
      </c>
    </row>
    <row r="1926" spans="1:14" x14ac:dyDescent="0.3">
      <c r="A1926" s="1" t="str">
        <f>"27_593-11/2024/Ш"</f>
        <v>27_593-11/2024/Ш</v>
      </c>
      <c r="B1926" s="6">
        <v>45614</v>
      </c>
      <c r="C1926" s="1" t="str">
        <f>"00038"</f>
        <v>00038</v>
      </c>
      <c r="D192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26" s="1" t="s">
        <v>20</v>
      </c>
      <c r="F192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26" s="1" t="str">
        <f t="shared" si="260"/>
        <v>Фізична особа</v>
      </c>
      <c r="H1926" s="1" t="s">
        <v>20</v>
      </c>
      <c r="I1926" s="1" t="s">
        <v>20</v>
      </c>
      <c r="J1926" s="1" t="str">
        <f t="shared" si="263"/>
        <v>Закрито</v>
      </c>
      <c r="K1926" s="5">
        <v>45614</v>
      </c>
      <c r="L1926" s="1" t="s">
        <v>20</v>
      </c>
      <c r="M1926" s="1" t="s">
        <v>22</v>
      </c>
      <c r="N1926" s="5">
        <v>45614</v>
      </c>
    </row>
    <row r="1927" spans="1:14" x14ac:dyDescent="0.3">
      <c r="A1927" s="1" t="str">
        <f>"4_985-11/2024/М"</f>
        <v>4_985-11/2024/М</v>
      </c>
      <c r="B1927" s="6">
        <v>45614</v>
      </c>
      <c r="C1927" s="1" t="str">
        <f>"01974"</f>
        <v>01974</v>
      </c>
      <c r="D1927" s="2" t="str">
        <f>"Призначення пільги на оплату житла, комунальних послуг"</f>
        <v>Призначення пільги на оплату житла, комунальних послуг</v>
      </c>
      <c r="E1927" s="1" t="str">
        <f>"03193413"</f>
        <v>03193413</v>
      </c>
      <c r="F192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927" s="1" t="str">
        <f t="shared" si="260"/>
        <v>Фізична особа</v>
      </c>
      <c r="H1927" s="1" t="s">
        <v>20</v>
      </c>
      <c r="I1927" s="1" t="s">
        <v>20</v>
      </c>
      <c r="J1927" s="1" t="str">
        <f>"На обробці в СНАП"</f>
        <v>На обробці в СНАП</v>
      </c>
      <c r="K1927" s="1" t="s">
        <v>20</v>
      </c>
      <c r="L1927" s="1" t="s">
        <v>20</v>
      </c>
      <c r="M1927" s="1" t="s">
        <v>22</v>
      </c>
      <c r="N1927" s="1" t="s">
        <v>20</v>
      </c>
    </row>
    <row r="1928" spans="1:14" x14ac:dyDescent="0.3">
      <c r="A1928" s="1" t="str">
        <f>"4_986-11/2024/М"</f>
        <v>4_986-11/2024/М</v>
      </c>
      <c r="B1928" s="6">
        <v>45614</v>
      </c>
      <c r="C1928" s="1" t="str">
        <f>"00155"</f>
        <v>00155</v>
      </c>
      <c r="D1928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928" s="1" t="str">
        <f>"03193413"</f>
        <v>03193413</v>
      </c>
      <c r="F192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928" s="1" t="str">
        <f t="shared" si="260"/>
        <v>Фізична особа</v>
      </c>
      <c r="H1928" s="1" t="s">
        <v>20</v>
      </c>
      <c r="I1928" s="1" t="s">
        <v>20</v>
      </c>
      <c r="J1928" s="1" t="str">
        <f>"Заявника сповіщено про результат"</f>
        <v>Заявника сповіщено про результат</v>
      </c>
      <c r="K1928" s="5">
        <v>45654</v>
      </c>
      <c r="L1928" s="1" t="s">
        <v>20</v>
      </c>
      <c r="M1928" s="1" t="s">
        <v>22</v>
      </c>
      <c r="N1928" s="5">
        <v>45654</v>
      </c>
    </row>
    <row r="1929" spans="1:14" x14ac:dyDescent="0.3">
      <c r="A1929" s="1" t="str">
        <f>"4_987-11/2024/В"</f>
        <v>4_987-11/2024/В</v>
      </c>
      <c r="B1929" s="6">
        <v>45614</v>
      </c>
      <c r="C1929" s="1" t="str">
        <f>"00096"</f>
        <v>00096</v>
      </c>
      <c r="D1929" s="2" t="str">
        <f>"Призначення державної соціальної допомоги особам, які не мають права на пенсію, та особам з інвалідністю"</f>
        <v>Призначення державної соціальної допомоги особам, які не мають права на пенсію, та особам з інвалідністю</v>
      </c>
      <c r="E1929" s="1" t="str">
        <f>"03193413"</f>
        <v>03193413</v>
      </c>
      <c r="F192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929" s="1" t="str">
        <f t="shared" si="260"/>
        <v>Фізична особа</v>
      </c>
      <c r="H1929" s="1" t="s">
        <v>20</v>
      </c>
      <c r="I1929" s="1" t="s">
        <v>20</v>
      </c>
      <c r="J1929" s="1" t="str">
        <f>"Заявника сповіщено про результат"</f>
        <v>Заявника сповіщено про результат</v>
      </c>
      <c r="K1929" s="5">
        <v>45632</v>
      </c>
      <c r="L1929" s="1" t="s">
        <v>20</v>
      </c>
      <c r="M1929" s="1" t="s">
        <v>22</v>
      </c>
      <c r="N1929" s="5">
        <v>45632</v>
      </c>
    </row>
    <row r="1930" spans="1:14" x14ac:dyDescent="0.3">
      <c r="A1930" s="1" t="str">
        <f>"4_988-11/2024/П"</f>
        <v>4_988-11/2024/П</v>
      </c>
      <c r="B1930" s="6">
        <v>45614</v>
      </c>
      <c r="C1930" s="1" t="str">
        <f>"01974"</f>
        <v>01974</v>
      </c>
      <c r="D1930" s="2" t="str">
        <f>"Призначення пільги на оплату житла, комунальних послуг"</f>
        <v>Призначення пільги на оплату житла, комунальних послуг</v>
      </c>
      <c r="E1930" s="1" t="str">
        <f>"03193413"</f>
        <v>03193413</v>
      </c>
      <c r="F193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930" s="1" t="str">
        <f t="shared" si="260"/>
        <v>Фізична особа</v>
      </c>
      <c r="H1930" s="1" t="s">
        <v>20</v>
      </c>
      <c r="I1930" s="1" t="s">
        <v>20</v>
      </c>
      <c r="J1930" s="1" t="str">
        <f>"На обробці в СНАП"</f>
        <v>На обробці в СНАП</v>
      </c>
      <c r="K1930" s="1" t="s">
        <v>20</v>
      </c>
      <c r="L1930" s="1" t="s">
        <v>20</v>
      </c>
      <c r="M1930" s="1" t="s">
        <v>22</v>
      </c>
      <c r="N1930" s="1" t="s">
        <v>20</v>
      </c>
    </row>
    <row r="1931" spans="1:14" x14ac:dyDescent="0.3">
      <c r="A1931" s="1" t="str">
        <f>"22_550-11/2024/В"</f>
        <v>22_550-11/2024/В</v>
      </c>
      <c r="B1931" s="6">
        <v>45614</v>
      </c>
      <c r="C1931" s="1" t="str">
        <f>"00037"</f>
        <v>00037</v>
      </c>
      <c r="D1931" s="2" t="str">
        <f>"Зняття з реєстрації місця проживання"</f>
        <v>Зняття з реєстрації місця проживання</v>
      </c>
      <c r="E1931" s="1" t="s">
        <v>20</v>
      </c>
      <c r="F19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31" s="1" t="str">
        <f>"Юридична особа"</f>
        <v>Юридична особа</v>
      </c>
      <c r="H1931" s="1" t="str">
        <f>"Високопільська територіальна громада"</f>
        <v>Високопільська територіальна громада</v>
      </c>
      <c r="I1931" s="1" t="s">
        <v>20</v>
      </c>
      <c r="J1931" s="1" t="str">
        <f>"Закрито"</f>
        <v>Закрито</v>
      </c>
      <c r="K1931" s="5">
        <v>45614</v>
      </c>
      <c r="L1931" s="1" t="s">
        <v>20</v>
      </c>
      <c r="M1931" s="1" t="s">
        <v>22</v>
      </c>
      <c r="N1931" s="5">
        <v>45614</v>
      </c>
    </row>
    <row r="1932" spans="1:14" x14ac:dyDescent="0.3">
      <c r="A1932" s="1" t="str">
        <f>"7_21-11/2024/М"</f>
        <v>7_21-11/2024/М</v>
      </c>
      <c r="B1932" s="6">
        <v>45615</v>
      </c>
      <c r="C1932" s="1" t="str">
        <f>"00038"</f>
        <v>00038</v>
      </c>
      <c r="D193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32" s="1" t="s">
        <v>20</v>
      </c>
      <c r="F19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32" s="1" t="str">
        <f>"Фізична особа"</f>
        <v>Фізична особа</v>
      </c>
      <c r="H1932" s="1" t="s">
        <v>20</v>
      </c>
      <c r="I1932" s="1" t="s">
        <v>20</v>
      </c>
      <c r="J1932" s="1" t="str">
        <f>"Закрито"</f>
        <v>Закрито</v>
      </c>
      <c r="K1932" s="5">
        <v>45615</v>
      </c>
      <c r="L1932" s="1" t="s">
        <v>20</v>
      </c>
      <c r="M1932" s="1" t="s">
        <v>22</v>
      </c>
      <c r="N1932" s="5">
        <v>45615</v>
      </c>
    </row>
    <row r="1933" spans="1:14" x14ac:dyDescent="0.3">
      <c r="A1933" s="1" t="str">
        <f>"6_378-11/2024/М"</f>
        <v>6_378-11/2024/М</v>
      </c>
      <c r="B1933" s="6">
        <v>45615</v>
      </c>
      <c r="C1933" s="1" t="str">
        <f>"00038"</f>
        <v>00038</v>
      </c>
      <c r="D193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33" s="1" t="s">
        <v>20</v>
      </c>
      <c r="F193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33" s="1" t="str">
        <f>"Фізична особа"</f>
        <v>Фізична особа</v>
      </c>
      <c r="H1933" s="1" t="s">
        <v>20</v>
      </c>
      <c r="I1933" s="1" t="s">
        <v>20</v>
      </c>
      <c r="J1933" s="1" t="str">
        <f>"Закрито"</f>
        <v>Закрито</v>
      </c>
      <c r="K1933" s="5">
        <v>45615</v>
      </c>
      <c r="L1933" s="1" t="s">
        <v>20</v>
      </c>
      <c r="M1933" s="1" t="s">
        <v>22</v>
      </c>
      <c r="N1933" s="5">
        <v>45615</v>
      </c>
    </row>
    <row r="1934" spans="1:14" x14ac:dyDescent="0.3">
      <c r="A1934" s="1" t="str">
        <f>"31_490-11/2024/К"</f>
        <v>31_490-11/2024/К</v>
      </c>
      <c r="B1934" s="6">
        <v>45615</v>
      </c>
      <c r="C1934" s="1" t="str">
        <f>"01298"</f>
        <v>01298</v>
      </c>
      <c r="D1934" s="2" t="str">
        <f>"Видача довідки про реєстрацію місця проживання померлого,  у тому числі про поживаючих разом з померлим за однією адресою"</f>
        <v>Видача довідки про реєстрацію місця проживання померлого,  у тому числі про поживаючих разом з померлим за однією адресою</v>
      </c>
      <c r="E1934" s="1" t="s">
        <v>20</v>
      </c>
      <c r="F19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34" s="1" t="str">
        <f>"Фізична особа"</f>
        <v>Фізична особа</v>
      </c>
      <c r="H1934" s="1" t="s">
        <v>20</v>
      </c>
      <c r="I1934" s="1" t="s">
        <v>20</v>
      </c>
      <c r="J1934" s="1" t="str">
        <f>"Закрито"</f>
        <v>Закрито</v>
      </c>
      <c r="K1934" s="5">
        <v>45615</v>
      </c>
      <c r="L1934" s="1" t="s">
        <v>20</v>
      </c>
      <c r="M1934" s="1" t="s">
        <v>22</v>
      </c>
      <c r="N1934" s="5">
        <v>45615</v>
      </c>
    </row>
    <row r="1935" spans="1:14" x14ac:dyDescent="0.3">
      <c r="A1935" s="1" t="str">
        <f>"1_5893/2129-11/2024/В"</f>
        <v>1_5893/2129-11/2024/В</v>
      </c>
      <c r="B1935" s="6">
        <v>45615</v>
      </c>
      <c r="C1935" s="1" t="str">
        <f>"01297"</f>
        <v>01297</v>
      </c>
      <c r="D1935" s="2" t="str">
        <f>"Видача довідок-характеристик на громадян"</f>
        <v>Видача довідок-характеристик на громадян</v>
      </c>
      <c r="E1935" s="1" t="s">
        <v>20</v>
      </c>
      <c r="F193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35" s="1" t="str">
        <f>"Юридична особа"</f>
        <v>Юридична особа</v>
      </c>
      <c r="H1935" s="1" t="str">
        <f>"Відділення поліції №3 (м.Галич) Івано-франківського районного управління поліції ГУНП в Івано-Франківській області"</f>
        <v>Відділення поліції №3 (м.Галич) Івано-франківського районного управління поліції ГУНП в Івано-Франківській області</v>
      </c>
      <c r="I1935" s="1" t="s">
        <v>20</v>
      </c>
      <c r="J1935" s="1" t="str">
        <f>"Закрито"</f>
        <v>Закрито</v>
      </c>
      <c r="K1935" s="5">
        <v>45617</v>
      </c>
      <c r="L1935" s="1" t="s">
        <v>20</v>
      </c>
      <c r="M1935" s="1" t="s">
        <v>22</v>
      </c>
      <c r="N1935" s="5">
        <v>45617</v>
      </c>
    </row>
    <row r="1936" spans="1:14" x14ac:dyDescent="0.3">
      <c r="A1936" s="1" t="str">
        <f>"9_1673/04054323-11/2024/С"</f>
        <v>9_1673/04054323-11/2024/С</v>
      </c>
      <c r="B1936" s="6">
        <v>45615</v>
      </c>
      <c r="C1936" s="1" t="str">
        <f>"01-1"</f>
        <v>01-1</v>
      </c>
      <c r="D1936" s="2" t="s">
        <v>0</v>
      </c>
      <c r="E1936" s="1" t="str">
        <f>"04054323"</f>
        <v>04054323</v>
      </c>
      <c r="F1936" s="1" t="str">
        <f>"Рогатинська міська рада"</f>
        <v>Рогатинська міська рада</v>
      </c>
      <c r="G1936" s="1" t="str">
        <f>"Фізична особа"</f>
        <v>Фізична особа</v>
      </c>
      <c r="H1936" s="1" t="s">
        <v>20</v>
      </c>
      <c r="I1936" s="1" t="s">
        <v>20</v>
      </c>
      <c r="J1936" s="1" t="str">
        <f>"На обробці в СНАП"</f>
        <v>На обробці в СНАП</v>
      </c>
      <c r="K1936" s="1" t="s">
        <v>20</v>
      </c>
      <c r="L1936" s="1" t="s">
        <v>20</v>
      </c>
      <c r="M1936" s="1" t="s">
        <v>22</v>
      </c>
      <c r="N1936" s="1" t="s">
        <v>20</v>
      </c>
    </row>
    <row r="1937" spans="1:14" x14ac:dyDescent="0.3">
      <c r="A1937" s="1" t="str">
        <f>"3_862-11/2024/С"</f>
        <v>3_862-11/2024/С</v>
      </c>
      <c r="B1937" s="6">
        <v>45615</v>
      </c>
      <c r="C1937" s="1" t="str">
        <f>"00038"</f>
        <v>00038</v>
      </c>
      <c r="D193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37" s="1" t="s">
        <v>20</v>
      </c>
      <c r="F1937" s="1" t="str">
        <f t="shared" ref="F1937:F1946" si="265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37" s="1" t="str">
        <f>"Фізична особа"</f>
        <v>Фізична особа</v>
      </c>
      <c r="H1937" s="1" t="s">
        <v>20</v>
      </c>
      <c r="I1937" s="1" t="s">
        <v>20</v>
      </c>
      <c r="J1937" s="1" t="str">
        <f t="shared" ref="J1937:J1946" si="266">"Закрито"</f>
        <v>Закрито</v>
      </c>
      <c r="K1937" s="5">
        <v>45615</v>
      </c>
      <c r="L1937" s="1" t="s">
        <v>20</v>
      </c>
      <c r="M1937" s="1" t="s">
        <v>22</v>
      </c>
      <c r="N1937" s="5">
        <v>45615</v>
      </c>
    </row>
    <row r="1938" spans="1:14" x14ac:dyDescent="0.3">
      <c r="A1938" s="1" t="str">
        <f>"3_863-11/2024/С"</f>
        <v>3_863-11/2024/С</v>
      </c>
      <c r="B1938" s="6">
        <v>45615</v>
      </c>
      <c r="C1938" s="1" t="str">
        <f>"33"</f>
        <v>33</v>
      </c>
      <c r="D1938" s="2" t="str">
        <f>"33 Довідки різного характеру"</f>
        <v>33 Довідки різного характеру</v>
      </c>
      <c r="E1938" s="1" t="s">
        <v>20</v>
      </c>
      <c r="F1938" s="1" t="str">
        <f t="shared" si="265"/>
        <v>Центр надання адміністративних послуг Рогатинської міської ради</v>
      </c>
      <c r="G1938" s="1" t="str">
        <f>"Фізична особа"</f>
        <v>Фізична особа</v>
      </c>
      <c r="H1938" s="1" t="s">
        <v>20</v>
      </c>
      <c r="I1938" s="1" t="s">
        <v>20</v>
      </c>
      <c r="J1938" s="1" t="str">
        <f t="shared" si="266"/>
        <v>Закрито</v>
      </c>
      <c r="K1938" s="5">
        <v>45615</v>
      </c>
      <c r="L1938" s="1" t="s">
        <v>20</v>
      </c>
      <c r="M1938" s="1" t="s">
        <v>22</v>
      </c>
      <c r="N1938" s="5">
        <v>45615</v>
      </c>
    </row>
    <row r="1939" spans="1:14" x14ac:dyDescent="0.3">
      <c r="A1939" s="1" t="str">
        <f>"31_491-11/2024/Г"</f>
        <v>31_491-11/2024/Г</v>
      </c>
      <c r="B1939" s="6">
        <v>45615</v>
      </c>
      <c r="C1939" s="1" t="str">
        <f>"00038"</f>
        <v>00038</v>
      </c>
      <c r="D193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39" s="1" t="s">
        <v>20</v>
      </c>
      <c r="F1939" s="1" t="str">
        <f t="shared" si="265"/>
        <v>Центр надання адміністративних послуг Рогатинської міської ради</v>
      </c>
      <c r="G1939" s="1" t="str">
        <f>"Фізична особа"</f>
        <v>Фізична особа</v>
      </c>
      <c r="H1939" s="1" t="s">
        <v>20</v>
      </c>
      <c r="I1939" s="1" t="s">
        <v>20</v>
      </c>
      <c r="J1939" s="1" t="str">
        <f t="shared" si="266"/>
        <v>Закрито</v>
      </c>
      <c r="K1939" s="5">
        <v>45615</v>
      </c>
      <c r="L1939" s="1" t="s">
        <v>20</v>
      </c>
      <c r="M1939" s="1" t="s">
        <v>22</v>
      </c>
      <c r="N1939" s="5">
        <v>45615</v>
      </c>
    </row>
    <row r="1940" spans="1:14" x14ac:dyDescent="0.3">
      <c r="A1940" s="1" t="str">
        <f>"5_505/2129-11/2024/К"</f>
        <v>5_505/2129-11/2024/К</v>
      </c>
      <c r="B1940" s="6">
        <v>45615</v>
      </c>
      <c r="C1940" s="1" t="str">
        <f>"00054"</f>
        <v>00054</v>
      </c>
      <c r="D1940" s="2" t="s">
        <v>2</v>
      </c>
      <c r="E1940" s="1" t="s">
        <v>20</v>
      </c>
      <c r="F1940" s="1" t="str">
        <f t="shared" si="265"/>
        <v>Центр надання адміністративних послуг Рогатинської міської ради</v>
      </c>
      <c r="G1940" s="1" t="str">
        <f>"Юридична особа"</f>
        <v>Юридична особа</v>
      </c>
      <c r="H1940" s="1" t="str">
        <f>"Комунальна установа ""Центр соціальних служб Рогатинської міської ради"""</f>
        <v>Комунальна установа "Центр соціальних служб Рогатинської міської ради"</v>
      </c>
      <c r="I1940" s="1" t="str">
        <f>"44126077"</f>
        <v>44126077</v>
      </c>
      <c r="J1940" s="1" t="str">
        <f t="shared" si="266"/>
        <v>Закрито</v>
      </c>
      <c r="K1940" s="5">
        <v>45615</v>
      </c>
      <c r="L1940" s="1" t="str">
        <f>"910.0"</f>
        <v>910.0</v>
      </c>
      <c r="M1940" s="1" t="s">
        <v>22</v>
      </c>
      <c r="N1940" s="5">
        <v>45615</v>
      </c>
    </row>
    <row r="1941" spans="1:14" x14ac:dyDescent="0.3">
      <c r="A1941" s="1" t="str">
        <f>"12_880-11/2024/Б"</f>
        <v>12_880-11/2024/Б</v>
      </c>
      <c r="B1941" s="6">
        <v>45615</v>
      </c>
      <c r="C1941" s="1" t="str">
        <f>"00038"</f>
        <v>00038</v>
      </c>
      <c r="D194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41" s="1" t="s">
        <v>20</v>
      </c>
      <c r="F1941" s="1" t="str">
        <f t="shared" si="265"/>
        <v>Центр надання адміністративних послуг Рогатинської міської ради</v>
      </c>
      <c r="G1941" s="1" t="str">
        <f t="shared" ref="G1941:G1972" si="267">"Фізична особа"</f>
        <v>Фізична особа</v>
      </c>
      <c r="H1941" s="1" t="s">
        <v>20</v>
      </c>
      <c r="I1941" s="1" t="s">
        <v>20</v>
      </c>
      <c r="J1941" s="1" t="str">
        <f t="shared" si="266"/>
        <v>Закрито</v>
      </c>
      <c r="K1941" s="5">
        <v>45615</v>
      </c>
      <c r="L1941" s="1" t="s">
        <v>20</v>
      </c>
      <c r="M1941" s="1" t="s">
        <v>22</v>
      </c>
      <c r="N1941" s="5">
        <v>45615</v>
      </c>
    </row>
    <row r="1942" spans="1:14" x14ac:dyDescent="0.3">
      <c r="A1942" s="1" t="str">
        <f>"31_492-11/2024/Г"</f>
        <v>31_492-11/2024/Г</v>
      </c>
      <c r="B1942" s="6">
        <v>45615</v>
      </c>
      <c r="C1942" s="1" t="str">
        <f>"00038"</f>
        <v>00038</v>
      </c>
      <c r="D194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42" s="1" t="s">
        <v>20</v>
      </c>
      <c r="F1942" s="1" t="str">
        <f t="shared" si="265"/>
        <v>Центр надання адміністративних послуг Рогатинської міської ради</v>
      </c>
      <c r="G1942" s="1" t="str">
        <f t="shared" si="267"/>
        <v>Фізична особа</v>
      </c>
      <c r="H1942" s="1" t="s">
        <v>20</v>
      </c>
      <c r="I1942" s="1" t="s">
        <v>20</v>
      </c>
      <c r="J1942" s="1" t="str">
        <f t="shared" si="266"/>
        <v>Закрито</v>
      </c>
      <c r="K1942" s="5">
        <v>45615</v>
      </c>
      <c r="L1942" s="1" t="s">
        <v>20</v>
      </c>
      <c r="M1942" s="1" t="s">
        <v>22</v>
      </c>
      <c r="N1942" s="5">
        <v>45615</v>
      </c>
    </row>
    <row r="1943" spans="1:14" x14ac:dyDescent="0.3">
      <c r="A1943" s="1" t="str">
        <f>"3_1379/2129-11/2024/Ф"</f>
        <v>3_1379/2129-11/2024/Ф</v>
      </c>
      <c r="B1943" s="6">
        <v>45615</v>
      </c>
      <c r="C1943" s="1" t="str">
        <f>"00038"</f>
        <v>00038</v>
      </c>
      <c r="D194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43" s="1" t="s">
        <v>20</v>
      </c>
      <c r="F1943" s="1" t="str">
        <f t="shared" si="265"/>
        <v>Центр надання адміністративних послуг Рогатинської міської ради</v>
      </c>
      <c r="G1943" s="1" t="str">
        <f t="shared" si="267"/>
        <v>Фізична особа</v>
      </c>
      <c r="H1943" s="1" t="s">
        <v>20</v>
      </c>
      <c r="I1943" s="1" t="s">
        <v>20</v>
      </c>
      <c r="J1943" s="1" t="str">
        <f t="shared" si="266"/>
        <v>Закрито</v>
      </c>
      <c r="K1943" s="5">
        <v>45615</v>
      </c>
      <c r="L1943" s="1" t="s">
        <v>20</v>
      </c>
      <c r="M1943" s="1" t="s">
        <v>22</v>
      </c>
      <c r="N1943" s="5">
        <v>45615</v>
      </c>
    </row>
    <row r="1944" spans="1:14" x14ac:dyDescent="0.3">
      <c r="A1944" s="1" t="str">
        <f>"1_5894/2129-11/2024/Ф"</f>
        <v>1_5894/2129-11/2024/Ф</v>
      </c>
      <c r="B1944" s="6">
        <v>45615</v>
      </c>
      <c r="C1944" s="1" t="str">
        <f>"00038"</f>
        <v>00038</v>
      </c>
      <c r="D194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44" s="1" t="s">
        <v>20</v>
      </c>
      <c r="F1944" s="1" t="str">
        <f t="shared" si="265"/>
        <v>Центр надання адміністративних послуг Рогатинської міської ради</v>
      </c>
      <c r="G1944" s="1" t="str">
        <f t="shared" si="267"/>
        <v>Фізична особа</v>
      </c>
      <c r="H1944" s="1" t="s">
        <v>20</v>
      </c>
      <c r="I1944" s="1" t="s">
        <v>20</v>
      </c>
      <c r="J1944" s="1" t="str">
        <f t="shared" si="266"/>
        <v>Закрито</v>
      </c>
      <c r="K1944" s="5">
        <v>45615</v>
      </c>
      <c r="L1944" s="1" t="s">
        <v>20</v>
      </c>
      <c r="M1944" s="1" t="s">
        <v>22</v>
      </c>
      <c r="N1944" s="5">
        <v>45615</v>
      </c>
    </row>
    <row r="1945" spans="1:14" x14ac:dyDescent="0.3">
      <c r="A1945" s="1" t="str">
        <f>"1_5895/2129-11/2024/В"</f>
        <v>1_5895/2129-11/2024/В</v>
      </c>
      <c r="B1945" s="6">
        <v>45615</v>
      </c>
      <c r="C1945" s="1" t="str">
        <f>"00038"</f>
        <v>00038</v>
      </c>
      <c r="D194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45" s="1" t="s">
        <v>20</v>
      </c>
      <c r="F1945" s="1" t="str">
        <f t="shared" si="265"/>
        <v>Центр надання адміністративних послуг Рогатинської міської ради</v>
      </c>
      <c r="G1945" s="1" t="str">
        <f t="shared" si="267"/>
        <v>Фізична особа</v>
      </c>
      <c r="H1945" s="1" t="s">
        <v>20</v>
      </c>
      <c r="I1945" s="1" t="s">
        <v>20</v>
      </c>
      <c r="J1945" s="1" t="str">
        <f t="shared" si="266"/>
        <v>Закрито</v>
      </c>
      <c r="K1945" s="5">
        <v>45615</v>
      </c>
      <c r="L1945" s="1" t="s">
        <v>20</v>
      </c>
      <c r="M1945" s="1" t="s">
        <v>22</v>
      </c>
      <c r="N1945" s="5">
        <v>45615</v>
      </c>
    </row>
    <row r="1946" spans="1:14" x14ac:dyDescent="0.3">
      <c r="A1946" s="1" t="str">
        <f>"12_881-11/2024/Ц"</f>
        <v>12_881-11/2024/Ц</v>
      </c>
      <c r="B1946" s="6">
        <v>45615</v>
      </c>
      <c r="C1946" s="1" t="str">
        <f>"33"</f>
        <v>33</v>
      </c>
      <c r="D1946" s="2" t="str">
        <f>"33 Довідки різного характеру"</f>
        <v>33 Довідки різного характеру</v>
      </c>
      <c r="E1946" s="1" t="s">
        <v>20</v>
      </c>
      <c r="F1946" s="1" t="str">
        <f t="shared" si="265"/>
        <v>Центр надання адміністративних послуг Рогатинської міської ради</v>
      </c>
      <c r="G1946" s="1" t="str">
        <f t="shared" si="267"/>
        <v>Фізична особа</v>
      </c>
      <c r="H1946" s="1" t="s">
        <v>20</v>
      </c>
      <c r="I1946" s="1" t="s">
        <v>20</v>
      </c>
      <c r="J1946" s="1" t="str">
        <f t="shared" si="266"/>
        <v>Закрито</v>
      </c>
      <c r="K1946" s="5">
        <v>45615</v>
      </c>
      <c r="L1946" s="1" t="s">
        <v>20</v>
      </c>
      <c r="M1946" s="1" t="s">
        <v>22</v>
      </c>
      <c r="N1946" s="5">
        <v>45615</v>
      </c>
    </row>
    <row r="1947" spans="1:14" x14ac:dyDescent="0.3">
      <c r="A1947" s="1" t="str">
        <f>"9_1674/04054323-11/2024/К"</f>
        <v>9_1674/04054323-11/2024/К</v>
      </c>
      <c r="B1947" s="6">
        <v>45615</v>
      </c>
      <c r="C1947" s="1" t="str">
        <f>"01-1"</f>
        <v>01-1</v>
      </c>
      <c r="D1947" s="2" t="s">
        <v>0</v>
      </c>
      <c r="E1947" s="1" t="str">
        <f>"04054323"</f>
        <v>04054323</v>
      </c>
      <c r="F1947" s="1" t="str">
        <f>"Рогатинська міська рада"</f>
        <v>Рогатинська міська рада</v>
      </c>
      <c r="G1947" s="1" t="str">
        <f t="shared" si="267"/>
        <v>Фізична особа</v>
      </c>
      <c r="H1947" s="1" t="s">
        <v>20</v>
      </c>
      <c r="I1947" s="1" t="s">
        <v>20</v>
      </c>
      <c r="J1947" s="1" t="str">
        <f>"На обробці в СНАП"</f>
        <v>На обробці в СНАП</v>
      </c>
      <c r="K1947" s="1" t="s">
        <v>20</v>
      </c>
      <c r="L1947" s="1" t="s">
        <v>20</v>
      </c>
      <c r="M1947" s="1" t="s">
        <v>22</v>
      </c>
      <c r="N1947" s="1" t="s">
        <v>20</v>
      </c>
    </row>
    <row r="1948" spans="1:14" x14ac:dyDescent="0.3">
      <c r="A1948" s="1" t="str">
        <f>"26_377-11/2024/Ш"</f>
        <v>26_377-11/2024/Ш</v>
      </c>
      <c r="B1948" s="6">
        <v>45615</v>
      </c>
      <c r="C1948" s="1" t="str">
        <f>"00038"</f>
        <v>00038</v>
      </c>
      <c r="D194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48" s="1" t="s">
        <v>20</v>
      </c>
      <c r="F194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48" s="1" t="str">
        <f t="shared" si="267"/>
        <v>Фізична особа</v>
      </c>
      <c r="H1948" s="1" t="s">
        <v>20</v>
      </c>
      <c r="I1948" s="1" t="s">
        <v>20</v>
      </c>
      <c r="J1948" s="1" t="str">
        <f>"Закрито"</f>
        <v>Закрито</v>
      </c>
      <c r="K1948" s="5">
        <v>45615</v>
      </c>
      <c r="L1948" s="1" t="s">
        <v>20</v>
      </c>
      <c r="M1948" s="1" t="s">
        <v>22</v>
      </c>
      <c r="N1948" s="5">
        <v>45615</v>
      </c>
    </row>
    <row r="1949" spans="1:14" x14ac:dyDescent="0.3">
      <c r="A1949" s="1" t="str">
        <f>"26_378-11/2024/Ш"</f>
        <v>26_378-11/2024/Ш</v>
      </c>
      <c r="B1949" s="6">
        <v>45615</v>
      </c>
      <c r="C1949" s="1" t="str">
        <f>"33"</f>
        <v>33</v>
      </c>
      <c r="D1949" s="2" t="str">
        <f>"33 Довідки різного характеру"</f>
        <v>33 Довідки різного характеру</v>
      </c>
      <c r="E1949" s="1" t="s">
        <v>20</v>
      </c>
      <c r="F194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49" s="1" t="str">
        <f t="shared" si="267"/>
        <v>Фізична особа</v>
      </c>
      <c r="H1949" s="1" t="s">
        <v>20</v>
      </c>
      <c r="I1949" s="1" t="s">
        <v>20</v>
      </c>
      <c r="J1949" s="1" t="str">
        <f>"Закрито"</f>
        <v>Закрито</v>
      </c>
      <c r="K1949" s="5">
        <v>45615</v>
      </c>
      <c r="L1949" s="1" t="s">
        <v>20</v>
      </c>
      <c r="M1949" s="1" t="s">
        <v>22</v>
      </c>
      <c r="N1949" s="5">
        <v>45615</v>
      </c>
    </row>
    <row r="1950" spans="1:14" x14ac:dyDescent="0.3">
      <c r="A1950" s="1" t="str">
        <f>"9_1675/04054323-11/2024/Р"</f>
        <v>9_1675/04054323-11/2024/Р</v>
      </c>
      <c r="B1950" s="6">
        <v>45615</v>
      </c>
      <c r="C1950" s="1" t="str">
        <f>"01-1"</f>
        <v>01-1</v>
      </c>
      <c r="D1950" s="2" t="s">
        <v>0</v>
      </c>
      <c r="E1950" s="1" t="str">
        <f>"04054323"</f>
        <v>04054323</v>
      </c>
      <c r="F1950" s="1" t="str">
        <f>"Рогатинська міська рада"</f>
        <v>Рогатинська міська рада</v>
      </c>
      <c r="G1950" s="1" t="str">
        <f t="shared" si="267"/>
        <v>Фізична особа</v>
      </c>
      <c r="H1950" s="1" t="s">
        <v>20</v>
      </c>
      <c r="I1950" s="1" t="s">
        <v>20</v>
      </c>
      <c r="J1950" s="1" t="str">
        <f>"На обробці в СНАП"</f>
        <v>На обробці в СНАП</v>
      </c>
      <c r="K1950" s="1" t="s">
        <v>20</v>
      </c>
      <c r="L1950" s="1" t="s">
        <v>20</v>
      </c>
      <c r="M1950" s="1" t="s">
        <v>22</v>
      </c>
      <c r="N1950" s="1" t="s">
        <v>20</v>
      </c>
    </row>
    <row r="1951" spans="1:14" x14ac:dyDescent="0.3">
      <c r="A1951" s="1" t="str">
        <f>"26_379-11/2024/К"</f>
        <v>26_379-11/2024/К</v>
      </c>
      <c r="B1951" s="6">
        <v>45615</v>
      </c>
      <c r="C1951" s="1" t="str">
        <f>"00038"</f>
        <v>00038</v>
      </c>
      <c r="D195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51" s="1" t="s">
        <v>20</v>
      </c>
      <c r="F19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51" s="1" t="str">
        <f t="shared" si="267"/>
        <v>Фізична особа</v>
      </c>
      <c r="H1951" s="1" t="s">
        <v>20</v>
      </c>
      <c r="I1951" s="1" t="s">
        <v>20</v>
      </c>
      <c r="J1951" s="1" t="str">
        <f>"Закрито"</f>
        <v>Закрито</v>
      </c>
      <c r="K1951" s="5">
        <v>45615</v>
      </c>
      <c r="L1951" s="1" t="s">
        <v>20</v>
      </c>
      <c r="M1951" s="1" t="s">
        <v>22</v>
      </c>
      <c r="N1951" s="5">
        <v>45615</v>
      </c>
    </row>
    <row r="1952" spans="1:14" x14ac:dyDescent="0.3">
      <c r="A1952" s="1" t="str">
        <f>"9_1676/04054323-11/2024/Р"</f>
        <v>9_1676/04054323-11/2024/Р</v>
      </c>
      <c r="B1952" s="6">
        <v>45615</v>
      </c>
      <c r="C1952" s="1" t="str">
        <f>"01"</f>
        <v>01</v>
      </c>
      <c r="D1952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1952" s="1" t="str">
        <f>"04054323"</f>
        <v>04054323</v>
      </c>
      <c r="F1952" s="1" t="str">
        <f>"Рогатинська міська рада"</f>
        <v>Рогатинська міська рада</v>
      </c>
      <c r="G1952" s="1" t="str">
        <f t="shared" si="267"/>
        <v>Фізична особа</v>
      </c>
      <c r="H1952" s="1" t="s">
        <v>20</v>
      </c>
      <c r="I1952" s="1" t="s">
        <v>20</v>
      </c>
      <c r="J1952" s="1" t="str">
        <f>"На обробці в СНАП"</f>
        <v>На обробці в СНАП</v>
      </c>
      <c r="K1952" s="1" t="s">
        <v>20</v>
      </c>
      <c r="L1952" s="1" t="s">
        <v>20</v>
      </c>
      <c r="M1952" s="1" t="s">
        <v>22</v>
      </c>
      <c r="N1952" s="1" t="s">
        <v>20</v>
      </c>
    </row>
    <row r="1953" spans="1:14" x14ac:dyDescent="0.3">
      <c r="A1953" s="1" t="str">
        <f>"20_180-11/2024/С"</f>
        <v>20_180-11/2024/С</v>
      </c>
      <c r="B1953" s="6">
        <v>45615</v>
      </c>
      <c r="C1953" s="1" t="str">
        <f>"00038"</f>
        <v>00038</v>
      </c>
      <c r="D195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53" s="1" t="s">
        <v>20</v>
      </c>
      <c r="F19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53" s="1" t="str">
        <f t="shared" si="267"/>
        <v>Фізична особа</v>
      </c>
      <c r="H1953" s="1" t="s">
        <v>20</v>
      </c>
      <c r="I1953" s="1" t="s">
        <v>20</v>
      </c>
      <c r="J1953" s="1" t="str">
        <f t="shared" ref="J1953:J1969" si="268">"Закрито"</f>
        <v>Закрито</v>
      </c>
      <c r="K1953" s="5">
        <v>45615</v>
      </c>
      <c r="L1953" s="1" t="s">
        <v>20</v>
      </c>
      <c r="M1953" s="1" t="s">
        <v>22</v>
      </c>
      <c r="N1953" s="5">
        <v>45615</v>
      </c>
    </row>
    <row r="1954" spans="1:14" x14ac:dyDescent="0.3">
      <c r="A1954" s="1" t="str">
        <f>"8_547-11/2024/К"</f>
        <v>8_547-11/2024/К</v>
      </c>
      <c r="B1954" s="6">
        <v>45615</v>
      </c>
      <c r="C1954" s="1" t="str">
        <f>"00038"</f>
        <v>00038</v>
      </c>
      <c r="D195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54" s="1" t="s">
        <v>20</v>
      </c>
      <c r="F195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54" s="1" t="str">
        <f t="shared" si="267"/>
        <v>Фізична особа</v>
      </c>
      <c r="H1954" s="1" t="s">
        <v>20</v>
      </c>
      <c r="I1954" s="1" t="s">
        <v>20</v>
      </c>
      <c r="J1954" s="1" t="str">
        <f t="shared" si="268"/>
        <v>Закрито</v>
      </c>
      <c r="K1954" s="5">
        <v>45615</v>
      </c>
      <c r="L1954" s="1" t="s">
        <v>20</v>
      </c>
      <c r="M1954" s="1" t="s">
        <v>22</v>
      </c>
      <c r="N1954" s="5">
        <v>45615</v>
      </c>
    </row>
    <row r="1955" spans="1:14" x14ac:dyDescent="0.3">
      <c r="A1955" s="1" t="str">
        <f>"14_1005-11/2024/К"</f>
        <v>14_1005-11/2024/К</v>
      </c>
      <c r="B1955" s="6">
        <v>45615</v>
      </c>
      <c r="C1955" s="1" t="str">
        <f>"00037"</f>
        <v>00037</v>
      </c>
      <c r="D1955" s="2" t="str">
        <f>"Зняття з реєстрації місця проживання"</f>
        <v>Зняття з реєстрації місця проживання</v>
      </c>
      <c r="E1955" s="1" t="s">
        <v>20</v>
      </c>
      <c r="F195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55" s="1" t="str">
        <f t="shared" si="267"/>
        <v>Фізична особа</v>
      </c>
      <c r="H1955" s="1" t="s">
        <v>20</v>
      </c>
      <c r="I1955" s="1" t="s">
        <v>20</v>
      </c>
      <c r="J1955" s="1" t="str">
        <f t="shared" si="268"/>
        <v>Закрито</v>
      </c>
      <c r="K1955" s="5">
        <v>45615</v>
      </c>
      <c r="L1955" s="1" t="str">
        <f>"45.42"</f>
        <v>45.42</v>
      </c>
      <c r="M1955" s="1" t="s">
        <v>22</v>
      </c>
      <c r="N1955" s="5">
        <v>45615</v>
      </c>
    </row>
    <row r="1956" spans="1:14" x14ac:dyDescent="0.3">
      <c r="A1956" s="1" t="str">
        <f>"14_1006-11/2024/К"</f>
        <v>14_1006-11/2024/К</v>
      </c>
      <c r="B1956" s="6">
        <v>45615</v>
      </c>
      <c r="C1956" s="1" t="str">
        <f>"00039"</f>
        <v>00039</v>
      </c>
      <c r="D1956" s="2" t="str">
        <f>"Видача довідки про зняття з реєстрації місця проживання"</f>
        <v>Видача довідки про зняття з реєстрації місця проживання</v>
      </c>
      <c r="E1956" s="1" t="s">
        <v>20</v>
      </c>
      <c r="F195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56" s="1" t="str">
        <f t="shared" si="267"/>
        <v>Фізична особа</v>
      </c>
      <c r="H1956" s="1" t="s">
        <v>20</v>
      </c>
      <c r="I1956" s="1" t="s">
        <v>20</v>
      </c>
      <c r="J1956" s="1" t="str">
        <f t="shared" si="268"/>
        <v>Закрито</v>
      </c>
      <c r="K1956" s="5">
        <v>45615</v>
      </c>
      <c r="L1956" s="1" t="s">
        <v>20</v>
      </c>
      <c r="M1956" s="1" t="s">
        <v>22</v>
      </c>
      <c r="N1956" s="5">
        <v>45615</v>
      </c>
    </row>
    <row r="1957" spans="1:14" x14ac:dyDescent="0.3">
      <c r="A1957" s="1" t="str">
        <f>"2_1998/04054323-11/2024/С"</f>
        <v>2_1998/04054323-11/2024/С</v>
      </c>
      <c r="B1957" s="6">
        <v>45615</v>
      </c>
      <c r="C1957" s="1" t="str">
        <f>"00153"</f>
        <v>00153</v>
      </c>
      <c r="D1957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1957" s="1" t="str">
        <f>"04054323"</f>
        <v>04054323</v>
      </c>
      <c r="F1957" s="1" t="str">
        <f>"Рогатинська міська рада"</f>
        <v>Рогатинська міська рада</v>
      </c>
      <c r="G1957" s="1" t="str">
        <f t="shared" si="267"/>
        <v>Фізична особа</v>
      </c>
      <c r="H1957" s="1" t="s">
        <v>20</v>
      </c>
      <c r="I1957" s="1" t="s">
        <v>20</v>
      </c>
      <c r="J1957" s="1" t="str">
        <f t="shared" si="268"/>
        <v>Закрито</v>
      </c>
      <c r="K1957" s="5">
        <v>45628</v>
      </c>
      <c r="L1957" s="1" t="s">
        <v>20</v>
      </c>
      <c r="M1957" s="1" t="s">
        <v>22</v>
      </c>
      <c r="N1957" s="5">
        <v>45628</v>
      </c>
    </row>
    <row r="1958" spans="1:14" x14ac:dyDescent="0.3">
      <c r="A1958" s="1" t="str">
        <f>"14_1007-11/2024/С"</f>
        <v>14_1007-11/2024/С</v>
      </c>
      <c r="B1958" s="6">
        <v>45615</v>
      </c>
      <c r="C1958" s="1" t="str">
        <f>"33"</f>
        <v>33</v>
      </c>
      <c r="D1958" s="2" t="str">
        <f>"33 Довідки різного характеру"</f>
        <v>33 Довідки різного характеру</v>
      </c>
      <c r="E1958" s="1" t="s">
        <v>20</v>
      </c>
      <c r="F1958" s="1" t="str">
        <f t="shared" ref="F1958:F1969" si="269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58" s="1" t="str">
        <f t="shared" si="267"/>
        <v>Фізична особа</v>
      </c>
      <c r="H1958" s="1" t="s">
        <v>20</v>
      </c>
      <c r="I1958" s="1" t="s">
        <v>20</v>
      </c>
      <c r="J1958" s="1" t="str">
        <f t="shared" si="268"/>
        <v>Закрито</v>
      </c>
      <c r="K1958" s="5">
        <v>45615</v>
      </c>
      <c r="L1958" s="1" t="s">
        <v>20</v>
      </c>
      <c r="M1958" s="1" t="s">
        <v>22</v>
      </c>
      <c r="N1958" s="5">
        <v>45615</v>
      </c>
    </row>
    <row r="1959" spans="1:14" x14ac:dyDescent="0.3">
      <c r="A1959" s="1" t="str">
        <f>"3_864-11/2024/А"</f>
        <v>3_864-11/2024/А</v>
      </c>
      <c r="B1959" s="6">
        <v>45615</v>
      </c>
      <c r="C1959" s="1" t="str">
        <f t="shared" ref="C1959:C1969" si="270">"00038"</f>
        <v>00038</v>
      </c>
      <c r="D1959" s="2" t="str">
        <f t="shared" ref="D1959:D1969" si="271"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59" s="1" t="s">
        <v>20</v>
      </c>
      <c r="F1959" s="1" t="str">
        <f t="shared" si="269"/>
        <v>Центр надання адміністративних послуг Рогатинської міської ради</v>
      </c>
      <c r="G1959" s="1" t="str">
        <f t="shared" si="267"/>
        <v>Фізична особа</v>
      </c>
      <c r="H1959" s="1" t="s">
        <v>20</v>
      </c>
      <c r="I1959" s="1" t="s">
        <v>20</v>
      </c>
      <c r="J1959" s="1" t="str">
        <f t="shared" si="268"/>
        <v>Закрито</v>
      </c>
      <c r="K1959" s="5">
        <v>45615</v>
      </c>
      <c r="L1959" s="1" t="s">
        <v>20</v>
      </c>
      <c r="M1959" s="1" t="s">
        <v>22</v>
      </c>
      <c r="N1959" s="5">
        <v>45615</v>
      </c>
    </row>
    <row r="1960" spans="1:14" x14ac:dyDescent="0.3">
      <c r="A1960" s="1" t="str">
        <f>"3_865-11/2024/А"</f>
        <v>3_865-11/2024/А</v>
      </c>
      <c r="B1960" s="6">
        <v>45615</v>
      </c>
      <c r="C1960" s="1" t="str">
        <f t="shared" si="270"/>
        <v>00038</v>
      </c>
      <c r="D1960" s="2" t="str">
        <f t="shared" si="271"/>
        <v>Видача довідки про реєстрацію місця проживання або місця перебування особи</v>
      </c>
      <c r="E1960" s="1" t="s">
        <v>20</v>
      </c>
      <c r="F1960" s="1" t="str">
        <f t="shared" si="269"/>
        <v>Центр надання адміністративних послуг Рогатинської міської ради</v>
      </c>
      <c r="G1960" s="1" t="str">
        <f t="shared" si="267"/>
        <v>Фізична особа</v>
      </c>
      <c r="H1960" s="1" t="s">
        <v>20</v>
      </c>
      <c r="I1960" s="1" t="s">
        <v>20</v>
      </c>
      <c r="J1960" s="1" t="str">
        <f t="shared" si="268"/>
        <v>Закрито</v>
      </c>
      <c r="K1960" s="5">
        <v>45615</v>
      </c>
      <c r="L1960" s="1" t="s">
        <v>20</v>
      </c>
      <c r="M1960" s="1" t="s">
        <v>22</v>
      </c>
      <c r="N1960" s="5">
        <v>45615</v>
      </c>
    </row>
    <row r="1961" spans="1:14" x14ac:dyDescent="0.3">
      <c r="A1961" s="1" t="str">
        <f>"12_882-11/2024/К"</f>
        <v>12_882-11/2024/К</v>
      </c>
      <c r="B1961" s="6">
        <v>45615</v>
      </c>
      <c r="C1961" s="1" t="str">
        <f t="shared" si="270"/>
        <v>00038</v>
      </c>
      <c r="D1961" s="2" t="str">
        <f t="shared" si="271"/>
        <v>Видача довідки про реєстрацію місця проживання або місця перебування особи</v>
      </c>
      <c r="E1961" s="1" t="s">
        <v>20</v>
      </c>
      <c r="F1961" s="1" t="str">
        <f t="shared" si="269"/>
        <v>Центр надання адміністративних послуг Рогатинської міської ради</v>
      </c>
      <c r="G1961" s="1" t="str">
        <f t="shared" si="267"/>
        <v>Фізична особа</v>
      </c>
      <c r="H1961" s="1" t="s">
        <v>20</v>
      </c>
      <c r="I1961" s="1" t="s">
        <v>20</v>
      </c>
      <c r="J1961" s="1" t="str">
        <f t="shared" si="268"/>
        <v>Закрито</v>
      </c>
      <c r="K1961" s="5">
        <v>45615</v>
      </c>
      <c r="L1961" s="1" t="s">
        <v>20</v>
      </c>
      <c r="M1961" s="1" t="s">
        <v>22</v>
      </c>
      <c r="N1961" s="5">
        <v>45615</v>
      </c>
    </row>
    <row r="1962" spans="1:14" x14ac:dyDescent="0.3">
      <c r="A1962" s="1" t="str">
        <f>"1_5896/2129-11/2024/М"</f>
        <v>1_5896/2129-11/2024/М</v>
      </c>
      <c r="B1962" s="6">
        <v>45615</v>
      </c>
      <c r="C1962" s="1" t="str">
        <f t="shared" si="270"/>
        <v>00038</v>
      </c>
      <c r="D1962" s="2" t="str">
        <f t="shared" si="271"/>
        <v>Видача довідки про реєстрацію місця проживання або місця перебування особи</v>
      </c>
      <c r="E1962" s="1" t="s">
        <v>20</v>
      </c>
      <c r="F1962" s="1" t="str">
        <f t="shared" si="269"/>
        <v>Центр надання адміністративних послуг Рогатинської міської ради</v>
      </c>
      <c r="G1962" s="1" t="str">
        <f t="shared" si="267"/>
        <v>Фізична особа</v>
      </c>
      <c r="H1962" s="1" t="s">
        <v>20</v>
      </c>
      <c r="I1962" s="1" t="s">
        <v>20</v>
      </c>
      <c r="J1962" s="1" t="str">
        <f t="shared" si="268"/>
        <v>Закрито</v>
      </c>
      <c r="K1962" s="5">
        <v>45615</v>
      </c>
      <c r="L1962" s="1" t="s">
        <v>20</v>
      </c>
      <c r="M1962" s="1" t="s">
        <v>22</v>
      </c>
      <c r="N1962" s="5">
        <v>45615</v>
      </c>
    </row>
    <row r="1963" spans="1:14" x14ac:dyDescent="0.3">
      <c r="A1963" s="1" t="str">
        <f>"1_5897/2129-11/2024/Ш"</f>
        <v>1_5897/2129-11/2024/Ш</v>
      </c>
      <c r="B1963" s="6">
        <v>45615</v>
      </c>
      <c r="C1963" s="1" t="str">
        <f t="shared" si="270"/>
        <v>00038</v>
      </c>
      <c r="D1963" s="2" t="str">
        <f t="shared" si="271"/>
        <v>Видача довідки про реєстрацію місця проживання або місця перебування особи</v>
      </c>
      <c r="E1963" s="1" t="s">
        <v>20</v>
      </c>
      <c r="F1963" s="1" t="str">
        <f t="shared" si="269"/>
        <v>Центр надання адміністративних послуг Рогатинської міської ради</v>
      </c>
      <c r="G1963" s="1" t="str">
        <f t="shared" si="267"/>
        <v>Фізична особа</v>
      </c>
      <c r="H1963" s="1" t="s">
        <v>20</v>
      </c>
      <c r="I1963" s="1" t="s">
        <v>20</v>
      </c>
      <c r="J1963" s="1" t="str">
        <f t="shared" si="268"/>
        <v>Закрито</v>
      </c>
      <c r="K1963" s="5">
        <v>45615</v>
      </c>
      <c r="L1963" s="1" t="s">
        <v>20</v>
      </c>
      <c r="M1963" s="1" t="s">
        <v>22</v>
      </c>
      <c r="N1963" s="5">
        <v>45615</v>
      </c>
    </row>
    <row r="1964" spans="1:14" x14ac:dyDescent="0.3">
      <c r="A1964" s="1" t="str">
        <f>"12_883-11/2024/К"</f>
        <v>12_883-11/2024/К</v>
      </c>
      <c r="B1964" s="6">
        <v>45615</v>
      </c>
      <c r="C1964" s="1" t="str">
        <f t="shared" si="270"/>
        <v>00038</v>
      </c>
      <c r="D1964" s="2" t="str">
        <f t="shared" si="271"/>
        <v>Видача довідки про реєстрацію місця проживання або місця перебування особи</v>
      </c>
      <c r="E1964" s="1" t="s">
        <v>20</v>
      </c>
      <c r="F1964" s="1" t="str">
        <f t="shared" si="269"/>
        <v>Центр надання адміністративних послуг Рогатинської міської ради</v>
      </c>
      <c r="G1964" s="1" t="str">
        <f t="shared" si="267"/>
        <v>Фізична особа</v>
      </c>
      <c r="H1964" s="1" t="s">
        <v>20</v>
      </c>
      <c r="I1964" s="1" t="s">
        <v>20</v>
      </c>
      <c r="J1964" s="1" t="str">
        <f t="shared" si="268"/>
        <v>Закрито</v>
      </c>
      <c r="K1964" s="5">
        <v>45615</v>
      </c>
      <c r="L1964" s="1" t="s">
        <v>20</v>
      </c>
      <c r="M1964" s="1" t="s">
        <v>22</v>
      </c>
      <c r="N1964" s="5">
        <v>45615</v>
      </c>
    </row>
    <row r="1965" spans="1:14" x14ac:dyDescent="0.3">
      <c r="A1965" s="1" t="str">
        <f>"1_5898/2129-11/2024/Г"</f>
        <v>1_5898/2129-11/2024/Г</v>
      </c>
      <c r="B1965" s="6">
        <v>45615</v>
      </c>
      <c r="C1965" s="1" t="str">
        <f t="shared" si="270"/>
        <v>00038</v>
      </c>
      <c r="D1965" s="2" t="str">
        <f t="shared" si="271"/>
        <v>Видача довідки про реєстрацію місця проживання або місця перебування особи</v>
      </c>
      <c r="E1965" s="1" t="s">
        <v>20</v>
      </c>
      <c r="F1965" s="1" t="str">
        <f t="shared" si="269"/>
        <v>Центр надання адміністративних послуг Рогатинської міської ради</v>
      </c>
      <c r="G1965" s="1" t="str">
        <f t="shared" si="267"/>
        <v>Фізична особа</v>
      </c>
      <c r="H1965" s="1" t="s">
        <v>20</v>
      </c>
      <c r="I1965" s="1" t="s">
        <v>20</v>
      </c>
      <c r="J1965" s="1" t="str">
        <f t="shared" si="268"/>
        <v>Закрито</v>
      </c>
      <c r="K1965" s="5">
        <v>45615</v>
      </c>
      <c r="L1965" s="1" t="s">
        <v>20</v>
      </c>
      <c r="M1965" s="1" t="s">
        <v>22</v>
      </c>
      <c r="N1965" s="5">
        <v>45615</v>
      </c>
    </row>
    <row r="1966" spans="1:14" x14ac:dyDescent="0.3">
      <c r="A1966" s="1" t="str">
        <f>"1_5899/2129-11/2024/М"</f>
        <v>1_5899/2129-11/2024/М</v>
      </c>
      <c r="B1966" s="6">
        <v>45615</v>
      </c>
      <c r="C1966" s="1" t="str">
        <f t="shared" si="270"/>
        <v>00038</v>
      </c>
      <c r="D1966" s="2" t="str">
        <f t="shared" si="271"/>
        <v>Видача довідки про реєстрацію місця проживання або місця перебування особи</v>
      </c>
      <c r="E1966" s="1" t="s">
        <v>20</v>
      </c>
      <c r="F1966" s="1" t="str">
        <f t="shared" si="269"/>
        <v>Центр надання адміністративних послуг Рогатинської міської ради</v>
      </c>
      <c r="G1966" s="1" t="str">
        <f t="shared" si="267"/>
        <v>Фізична особа</v>
      </c>
      <c r="H1966" s="1" t="s">
        <v>20</v>
      </c>
      <c r="I1966" s="1" t="s">
        <v>20</v>
      </c>
      <c r="J1966" s="1" t="str">
        <f t="shared" si="268"/>
        <v>Закрито</v>
      </c>
      <c r="K1966" s="5">
        <v>45615</v>
      </c>
      <c r="L1966" s="1" t="s">
        <v>20</v>
      </c>
      <c r="M1966" s="1" t="s">
        <v>22</v>
      </c>
      <c r="N1966" s="5">
        <v>45615</v>
      </c>
    </row>
    <row r="1967" spans="1:14" x14ac:dyDescent="0.3">
      <c r="A1967" s="1" t="str">
        <f>"12_884-11/2024/К"</f>
        <v>12_884-11/2024/К</v>
      </c>
      <c r="B1967" s="6">
        <v>45615</v>
      </c>
      <c r="C1967" s="1" t="str">
        <f t="shared" si="270"/>
        <v>00038</v>
      </c>
      <c r="D1967" s="2" t="str">
        <f t="shared" si="271"/>
        <v>Видача довідки про реєстрацію місця проживання або місця перебування особи</v>
      </c>
      <c r="E1967" s="1" t="s">
        <v>20</v>
      </c>
      <c r="F1967" s="1" t="str">
        <f t="shared" si="269"/>
        <v>Центр надання адміністративних послуг Рогатинської міської ради</v>
      </c>
      <c r="G1967" s="1" t="str">
        <f t="shared" si="267"/>
        <v>Фізична особа</v>
      </c>
      <c r="H1967" s="1" t="s">
        <v>20</v>
      </c>
      <c r="I1967" s="1" t="s">
        <v>20</v>
      </c>
      <c r="J1967" s="1" t="str">
        <f t="shared" si="268"/>
        <v>Закрито</v>
      </c>
      <c r="K1967" s="5">
        <v>45615</v>
      </c>
      <c r="L1967" s="1" t="s">
        <v>20</v>
      </c>
      <c r="M1967" s="1" t="s">
        <v>22</v>
      </c>
      <c r="N1967" s="5">
        <v>45615</v>
      </c>
    </row>
    <row r="1968" spans="1:14" x14ac:dyDescent="0.3">
      <c r="A1968" s="1" t="str">
        <f>"1_5900/2129-11/2024/С"</f>
        <v>1_5900/2129-11/2024/С</v>
      </c>
      <c r="B1968" s="6">
        <v>45615</v>
      </c>
      <c r="C1968" s="1" t="str">
        <f t="shared" si="270"/>
        <v>00038</v>
      </c>
      <c r="D1968" s="2" t="str">
        <f t="shared" si="271"/>
        <v>Видача довідки про реєстрацію місця проживання або місця перебування особи</v>
      </c>
      <c r="E1968" s="1" t="s">
        <v>20</v>
      </c>
      <c r="F1968" s="1" t="str">
        <f t="shared" si="269"/>
        <v>Центр надання адміністративних послуг Рогатинської міської ради</v>
      </c>
      <c r="G1968" s="1" t="str">
        <f t="shared" si="267"/>
        <v>Фізична особа</v>
      </c>
      <c r="H1968" s="1" t="s">
        <v>20</v>
      </c>
      <c r="I1968" s="1" t="s">
        <v>20</v>
      </c>
      <c r="J1968" s="1" t="str">
        <f t="shared" si="268"/>
        <v>Закрито</v>
      </c>
      <c r="K1968" s="5">
        <v>45615</v>
      </c>
      <c r="L1968" s="1" t="s">
        <v>20</v>
      </c>
      <c r="M1968" s="1" t="s">
        <v>22</v>
      </c>
      <c r="N1968" s="5">
        <v>45615</v>
      </c>
    </row>
    <row r="1969" spans="1:14" x14ac:dyDescent="0.3">
      <c r="A1969" s="1" t="str">
        <f>"12_885-11/2024/К"</f>
        <v>12_885-11/2024/К</v>
      </c>
      <c r="B1969" s="6">
        <v>45615</v>
      </c>
      <c r="C1969" s="1" t="str">
        <f t="shared" si="270"/>
        <v>00038</v>
      </c>
      <c r="D1969" s="2" t="str">
        <f t="shared" si="271"/>
        <v>Видача довідки про реєстрацію місця проживання або місця перебування особи</v>
      </c>
      <c r="E1969" s="1" t="s">
        <v>20</v>
      </c>
      <c r="F1969" s="1" t="str">
        <f t="shared" si="269"/>
        <v>Центр надання адміністративних послуг Рогатинської міської ради</v>
      </c>
      <c r="G1969" s="1" t="str">
        <f t="shared" si="267"/>
        <v>Фізична особа</v>
      </c>
      <c r="H1969" s="1" t="s">
        <v>20</v>
      </c>
      <c r="I1969" s="1" t="s">
        <v>20</v>
      </c>
      <c r="J1969" s="1" t="str">
        <f t="shared" si="268"/>
        <v>Закрито</v>
      </c>
      <c r="K1969" s="5">
        <v>45615</v>
      </c>
      <c r="L1969" s="1" t="s">
        <v>20</v>
      </c>
      <c r="M1969" s="1" t="s">
        <v>22</v>
      </c>
      <c r="N1969" s="5">
        <v>45615</v>
      </c>
    </row>
    <row r="1970" spans="1:14" x14ac:dyDescent="0.3">
      <c r="A1970" s="1" t="str">
        <f>"31_493-11/2024/Л"</f>
        <v>31_493-11/2024/Л</v>
      </c>
      <c r="B1970" s="6">
        <v>45615</v>
      </c>
      <c r="C1970" s="1" t="str">
        <f>"00155"</f>
        <v>00155</v>
      </c>
      <c r="D1970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1970" s="1" t="str">
        <f>"03193413"</f>
        <v>03193413</v>
      </c>
      <c r="F197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970" s="1" t="str">
        <f t="shared" si="267"/>
        <v>Фізична особа</v>
      </c>
      <c r="H1970" s="1" t="s">
        <v>20</v>
      </c>
      <c r="I1970" s="1" t="s">
        <v>20</v>
      </c>
      <c r="J1970" s="1" t="str">
        <f>"На обробці в СНАП"</f>
        <v>На обробці в СНАП</v>
      </c>
      <c r="K1970" s="1" t="s">
        <v>20</v>
      </c>
      <c r="L1970" s="1" t="s">
        <v>20</v>
      </c>
      <c r="M1970" s="1" t="s">
        <v>22</v>
      </c>
      <c r="N1970" s="1" t="s">
        <v>20</v>
      </c>
    </row>
    <row r="1971" spans="1:14" x14ac:dyDescent="0.3">
      <c r="A1971" s="1" t="str">
        <f>"14_1008-11/2024/Л"</f>
        <v>14_1008-11/2024/Л</v>
      </c>
      <c r="B1971" s="6">
        <v>45615</v>
      </c>
      <c r="C1971" s="1" t="str">
        <f>"00038"</f>
        <v>00038</v>
      </c>
      <c r="D197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71" s="1" t="s">
        <v>20</v>
      </c>
      <c r="F197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71" s="1" t="str">
        <f t="shared" si="267"/>
        <v>Фізична особа</v>
      </c>
      <c r="H1971" s="1" t="s">
        <v>20</v>
      </c>
      <c r="I1971" s="1" t="s">
        <v>20</v>
      </c>
      <c r="J1971" s="1" t="str">
        <f t="shared" ref="J1971:J2002" si="272">"Закрито"</f>
        <v>Закрито</v>
      </c>
      <c r="K1971" s="5">
        <v>45615</v>
      </c>
      <c r="L1971" s="1" t="s">
        <v>20</v>
      </c>
      <c r="M1971" s="1" t="s">
        <v>22</v>
      </c>
      <c r="N1971" s="5">
        <v>45615</v>
      </c>
    </row>
    <row r="1972" spans="1:14" x14ac:dyDescent="0.3">
      <c r="A1972" s="1" t="str">
        <f>"1_5901/2129-11/2024/К"</f>
        <v>1_5901/2129-11/2024/К</v>
      </c>
      <c r="B1972" s="6">
        <v>45615</v>
      </c>
      <c r="C1972" s="1" t="str">
        <f>"00038"</f>
        <v>00038</v>
      </c>
      <c r="D197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72" s="1" t="s">
        <v>20</v>
      </c>
      <c r="F197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72" s="1" t="str">
        <f t="shared" si="267"/>
        <v>Фізична особа</v>
      </c>
      <c r="H1972" s="1" t="s">
        <v>20</v>
      </c>
      <c r="I1972" s="1" t="s">
        <v>20</v>
      </c>
      <c r="J1972" s="1" t="str">
        <f t="shared" si="272"/>
        <v>Закрито</v>
      </c>
      <c r="K1972" s="5">
        <v>45615</v>
      </c>
      <c r="L1972" s="1" t="s">
        <v>20</v>
      </c>
      <c r="M1972" s="1" t="s">
        <v>22</v>
      </c>
      <c r="N1972" s="5">
        <v>45615</v>
      </c>
    </row>
    <row r="1973" spans="1:14" x14ac:dyDescent="0.3">
      <c r="A1973" s="1" t="str">
        <f>"1_5902/2129-11/2024/П"</f>
        <v>1_5902/2129-11/2024/П</v>
      </c>
      <c r="B1973" s="6">
        <v>45615</v>
      </c>
      <c r="C1973" s="1" t="str">
        <f>"01298"</f>
        <v>01298</v>
      </c>
      <c r="D1973" s="2" t="str">
        <f>"Видача довідки про реєстрацію місця проживання померлого,  у тому числі про поживаючих разом з померлим за однією адресою"</f>
        <v>Видача довідки про реєстрацію місця проживання померлого,  у тому числі про поживаючих разом з померлим за однією адресою</v>
      </c>
      <c r="E1973" s="1" t="s">
        <v>20</v>
      </c>
      <c r="F197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73" s="1" t="str">
        <f>"Юридична особа"</f>
        <v>Юридична особа</v>
      </c>
      <c r="H1973" s="1" t="str">
        <f>"Приватний нотаріус"</f>
        <v>Приватний нотаріус</v>
      </c>
      <c r="I1973" s="1" t="s">
        <v>20</v>
      </c>
      <c r="J1973" s="1" t="str">
        <f t="shared" si="272"/>
        <v>Закрито</v>
      </c>
      <c r="K1973" s="5">
        <v>45615</v>
      </c>
      <c r="L1973" s="1" t="s">
        <v>20</v>
      </c>
      <c r="M1973" s="1" t="s">
        <v>22</v>
      </c>
      <c r="N1973" s="5">
        <v>45615</v>
      </c>
    </row>
    <row r="1974" spans="1:14" x14ac:dyDescent="0.3">
      <c r="A1974" s="1" t="str">
        <f>"12_886-11/2024/К"</f>
        <v>12_886-11/2024/К</v>
      </c>
      <c r="B1974" s="6">
        <v>45615</v>
      </c>
      <c r="C1974" s="1" t="str">
        <f>"01974"</f>
        <v>01974</v>
      </c>
      <c r="D1974" s="2" t="str">
        <f>"Призначення пільги на оплату житла, комунальних послуг"</f>
        <v>Призначення пільги на оплату житла, комунальних послуг</v>
      </c>
      <c r="E1974" s="1" t="str">
        <f>"03193413"</f>
        <v>03193413</v>
      </c>
      <c r="F197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974" s="1" t="str">
        <f t="shared" ref="G1974:G2011" si="273">"Фізична особа"</f>
        <v>Фізична особа</v>
      </c>
      <c r="H1974" s="1" t="s">
        <v>20</v>
      </c>
      <c r="I1974" s="1" t="s">
        <v>20</v>
      </c>
      <c r="J1974" s="1" t="str">
        <f t="shared" si="272"/>
        <v>Закрито</v>
      </c>
      <c r="K1974" s="5">
        <v>45653</v>
      </c>
      <c r="L1974" s="1" t="s">
        <v>20</v>
      </c>
      <c r="M1974" s="1" t="s">
        <v>22</v>
      </c>
      <c r="N1974" s="5">
        <v>45653</v>
      </c>
    </row>
    <row r="1975" spans="1:14" x14ac:dyDescent="0.3">
      <c r="A1975" s="1" t="str">
        <f>"1_5903/2129-11/2024/Ц"</f>
        <v>1_5903/2129-11/2024/Ц</v>
      </c>
      <c r="B1975" s="6">
        <v>45615</v>
      </c>
      <c r="C1975" s="1" t="str">
        <f>"00038"</f>
        <v>00038</v>
      </c>
      <c r="D197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75" s="1" t="s">
        <v>20</v>
      </c>
      <c r="F19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75" s="1" t="str">
        <f t="shared" si="273"/>
        <v>Фізична особа</v>
      </c>
      <c r="H1975" s="1" t="s">
        <v>20</v>
      </c>
      <c r="I1975" s="1" t="s">
        <v>20</v>
      </c>
      <c r="J1975" s="1" t="str">
        <f t="shared" si="272"/>
        <v>Закрито</v>
      </c>
      <c r="K1975" s="5">
        <v>45615</v>
      </c>
      <c r="L1975" s="1" t="s">
        <v>20</v>
      </c>
      <c r="M1975" s="1" t="s">
        <v>22</v>
      </c>
      <c r="N1975" s="5">
        <v>45615</v>
      </c>
    </row>
    <row r="1976" spans="1:14" x14ac:dyDescent="0.3">
      <c r="A1976" s="1" t="str">
        <f>"1_718-11/2024/К"</f>
        <v>1_718-11/2024/К</v>
      </c>
      <c r="B1976" s="6">
        <v>45615</v>
      </c>
      <c r="C1976" s="1" t="str">
        <f>"00038"</f>
        <v>00038</v>
      </c>
      <c r="D197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76" s="1" t="s">
        <v>20</v>
      </c>
      <c r="F197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76" s="1" t="str">
        <f t="shared" si="273"/>
        <v>Фізична особа</v>
      </c>
      <c r="H1976" s="1" t="s">
        <v>20</v>
      </c>
      <c r="I1976" s="1" t="s">
        <v>20</v>
      </c>
      <c r="J1976" s="1" t="str">
        <f t="shared" si="272"/>
        <v>Закрито</v>
      </c>
      <c r="K1976" s="5">
        <v>45614</v>
      </c>
      <c r="L1976" s="1" t="s">
        <v>20</v>
      </c>
      <c r="M1976" s="1" t="s">
        <v>22</v>
      </c>
      <c r="N1976" s="5">
        <v>45615</v>
      </c>
    </row>
    <row r="1977" spans="1:14" x14ac:dyDescent="0.3">
      <c r="A1977" s="1" t="str">
        <f>"1_5904/2129-11/2024/А"</f>
        <v>1_5904/2129-11/2024/А</v>
      </c>
      <c r="B1977" s="6">
        <v>45615</v>
      </c>
      <c r="C1977" s="1" t="str">
        <f>"00038"</f>
        <v>00038</v>
      </c>
      <c r="D197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77" s="1" t="s">
        <v>20</v>
      </c>
      <c r="F197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77" s="1" t="str">
        <f t="shared" si="273"/>
        <v>Фізична особа</v>
      </c>
      <c r="H1977" s="1" t="s">
        <v>20</v>
      </c>
      <c r="I1977" s="1" t="s">
        <v>20</v>
      </c>
      <c r="J1977" s="1" t="str">
        <f t="shared" si="272"/>
        <v>Закрито</v>
      </c>
      <c r="K1977" s="5">
        <v>45615</v>
      </c>
      <c r="L1977" s="1" t="s">
        <v>20</v>
      </c>
      <c r="M1977" s="1" t="s">
        <v>22</v>
      </c>
      <c r="N1977" s="5">
        <v>45615</v>
      </c>
    </row>
    <row r="1978" spans="1:14" x14ac:dyDescent="0.3">
      <c r="A1978" s="1" t="str">
        <f>"1_719-11/2024/К"</f>
        <v>1_719-11/2024/К</v>
      </c>
      <c r="B1978" s="6">
        <v>45615</v>
      </c>
      <c r="C1978" s="1" t="str">
        <f>"00064"</f>
        <v>00064</v>
      </c>
      <c r="D1978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1978" s="1" t="s">
        <v>20</v>
      </c>
      <c r="F1978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1978" s="1" t="str">
        <f t="shared" si="273"/>
        <v>Фізична особа</v>
      </c>
      <c r="H1978" s="1" t="s">
        <v>20</v>
      </c>
      <c r="I1978" s="1" t="s">
        <v>20</v>
      </c>
      <c r="J1978" s="1" t="str">
        <f t="shared" si="272"/>
        <v>Закрито</v>
      </c>
      <c r="K1978" s="5">
        <v>45615</v>
      </c>
      <c r="L1978" s="1" t="s">
        <v>20</v>
      </c>
      <c r="M1978" s="1" t="s">
        <v>22</v>
      </c>
      <c r="N1978" s="5">
        <v>45615</v>
      </c>
    </row>
    <row r="1979" spans="1:14" x14ac:dyDescent="0.3">
      <c r="A1979" s="1" t="str">
        <f>"1_720-11/2024/К"</f>
        <v>1_720-11/2024/К</v>
      </c>
      <c r="B1979" s="6">
        <v>45615</v>
      </c>
      <c r="C1979" s="1" t="str">
        <f>"00133"</f>
        <v>00133</v>
      </c>
      <c r="D1979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1979" s="1" t="str">
        <f>"03193413"</f>
        <v>03193413</v>
      </c>
      <c r="F197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979" s="1" t="str">
        <f t="shared" si="273"/>
        <v>Фізична особа</v>
      </c>
      <c r="H1979" s="1" t="s">
        <v>20</v>
      </c>
      <c r="I1979" s="1" t="s">
        <v>20</v>
      </c>
      <c r="J1979" s="1" t="str">
        <f t="shared" si="272"/>
        <v>Закрито</v>
      </c>
      <c r="K1979" s="5">
        <v>45653</v>
      </c>
      <c r="L1979" s="1" t="s">
        <v>20</v>
      </c>
      <c r="M1979" s="1" t="s">
        <v>22</v>
      </c>
      <c r="N1979" s="5">
        <v>45653</v>
      </c>
    </row>
    <row r="1980" spans="1:14" x14ac:dyDescent="0.3">
      <c r="A1980" s="1" t="str">
        <f>"12_887-11/2024/Т"</f>
        <v>12_887-11/2024/Т</v>
      </c>
      <c r="B1980" s="6">
        <v>45615</v>
      </c>
      <c r="C1980" s="1" t="str">
        <f>"00038"</f>
        <v>00038</v>
      </c>
      <c r="D198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80" s="1" t="s">
        <v>20</v>
      </c>
      <c r="F1980" s="1" t="str">
        <f t="shared" ref="F1980:F1986" si="274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80" s="1" t="str">
        <f t="shared" si="273"/>
        <v>Фізична особа</v>
      </c>
      <c r="H1980" s="1" t="s">
        <v>20</v>
      </c>
      <c r="I1980" s="1" t="s">
        <v>20</v>
      </c>
      <c r="J1980" s="1" t="str">
        <f t="shared" si="272"/>
        <v>Закрито</v>
      </c>
      <c r="K1980" s="5">
        <v>45615</v>
      </c>
      <c r="L1980" s="1" t="s">
        <v>20</v>
      </c>
      <c r="M1980" s="1" t="s">
        <v>22</v>
      </c>
      <c r="N1980" s="5">
        <v>45615</v>
      </c>
    </row>
    <row r="1981" spans="1:14" x14ac:dyDescent="0.3">
      <c r="A1981" s="1" t="str">
        <f>"5_487-11/2024/Л"</f>
        <v>5_487-11/2024/Л</v>
      </c>
      <c r="B1981" s="6">
        <v>45615</v>
      </c>
      <c r="C1981" s="1" t="str">
        <f>"00038"</f>
        <v>00038</v>
      </c>
      <c r="D198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81" s="1" t="s">
        <v>20</v>
      </c>
      <c r="F1981" s="1" t="str">
        <f t="shared" si="274"/>
        <v>Центр надання адміністративних послуг Рогатинської міської ради</v>
      </c>
      <c r="G1981" s="1" t="str">
        <f t="shared" si="273"/>
        <v>Фізична особа</v>
      </c>
      <c r="H1981" s="1" t="s">
        <v>20</v>
      </c>
      <c r="I1981" s="1" t="s">
        <v>20</v>
      </c>
      <c r="J1981" s="1" t="str">
        <f t="shared" si="272"/>
        <v>Закрито</v>
      </c>
      <c r="K1981" s="5">
        <v>45615</v>
      </c>
      <c r="L1981" s="1" t="s">
        <v>20</v>
      </c>
      <c r="M1981" s="1" t="s">
        <v>22</v>
      </c>
      <c r="N1981" s="5">
        <v>45615</v>
      </c>
    </row>
    <row r="1982" spans="1:14" x14ac:dyDescent="0.3">
      <c r="A1982" s="1" t="str">
        <f>"12_888-11/2024/Т"</f>
        <v>12_888-11/2024/Т</v>
      </c>
      <c r="B1982" s="6">
        <v>45615</v>
      </c>
      <c r="C1982" s="1" t="str">
        <f>"00038"</f>
        <v>00038</v>
      </c>
      <c r="D198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82" s="1" t="s">
        <v>20</v>
      </c>
      <c r="F1982" s="1" t="str">
        <f t="shared" si="274"/>
        <v>Центр надання адміністративних послуг Рогатинської міської ради</v>
      </c>
      <c r="G1982" s="1" t="str">
        <f t="shared" si="273"/>
        <v>Фізична особа</v>
      </c>
      <c r="H1982" s="1" t="s">
        <v>20</v>
      </c>
      <c r="I1982" s="1" t="s">
        <v>20</v>
      </c>
      <c r="J1982" s="1" t="str">
        <f t="shared" si="272"/>
        <v>Закрито</v>
      </c>
      <c r="K1982" s="5">
        <v>45615</v>
      </c>
      <c r="L1982" s="1" t="s">
        <v>20</v>
      </c>
      <c r="M1982" s="1" t="s">
        <v>22</v>
      </c>
      <c r="N1982" s="5">
        <v>45615</v>
      </c>
    </row>
    <row r="1983" spans="1:14" x14ac:dyDescent="0.3">
      <c r="A1983" s="1" t="str">
        <f>"12_889-11/2024/Т"</f>
        <v>12_889-11/2024/Т</v>
      </c>
      <c r="B1983" s="6">
        <v>45615</v>
      </c>
      <c r="C1983" s="1" t="str">
        <f>"00038"</f>
        <v>00038</v>
      </c>
      <c r="D198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83" s="1" t="s">
        <v>20</v>
      </c>
      <c r="F1983" s="1" t="str">
        <f t="shared" si="274"/>
        <v>Центр надання адміністративних послуг Рогатинської міської ради</v>
      </c>
      <c r="G1983" s="1" t="str">
        <f t="shared" si="273"/>
        <v>Фізична особа</v>
      </c>
      <c r="H1983" s="1" t="s">
        <v>20</v>
      </c>
      <c r="I1983" s="1" t="s">
        <v>20</v>
      </c>
      <c r="J1983" s="1" t="str">
        <f t="shared" si="272"/>
        <v>Закрито</v>
      </c>
      <c r="K1983" s="5">
        <v>45615</v>
      </c>
      <c r="L1983" s="1" t="s">
        <v>20</v>
      </c>
      <c r="M1983" s="1" t="s">
        <v>22</v>
      </c>
      <c r="N1983" s="5">
        <v>45615</v>
      </c>
    </row>
    <row r="1984" spans="1:14" x14ac:dyDescent="0.3">
      <c r="A1984" s="1" t="str">
        <f>"33_417-11/2024/Г"</f>
        <v>33_417-11/2024/Г</v>
      </c>
      <c r="B1984" s="6">
        <v>45615</v>
      </c>
      <c r="C1984" s="1" t="str">
        <f>"01841"</f>
        <v>01841</v>
      </c>
      <c r="D1984" s="2" t="str">
        <f>"Видача довідки про реєстрацію та проживання особи станом на 15.04.1991 року"</f>
        <v>Видача довідки про реєстрацію та проживання особи станом на 15.04.1991 року</v>
      </c>
      <c r="E1984" s="1" t="s">
        <v>20</v>
      </c>
      <c r="F1984" s="1" t="str">
        <f t="shared" si="274"/>
        <v>Центр надання адміністративних послуг Рогатинської міської ради</v>
      </c>
      <c r="G1984" s="1" t="str">
        <f t="shared" si="273"/>
        <v>Фізична особа</v>
      </c>
      <c r="H1984" s="1" t="s">
        <v>20</v>
      </c>
      <c r="I1984" s="1" t="s">
        <v>20</v>
      </c>
      <c r="J1984" s="1" t="str">
        <f t="shared" si="272"/>
        <v>Закрито</v>
      </c>
      <c r="K1984" s="5">
        <v>45615</v>
      </c>
      <c r="L1984" s="1" t="s">
        <v>20</v>
      </c>
      <c r="M1984" s="1" t="s">
        <v>22</v>
      </c>
      <c r="N1984" s="5">
        <v>45615</v>
      </c>
    </row>
    <row r="1985" spans="1:14" x14ac:dyDescent="0.3">
      <c r="A1985" s="1" t="str">
        <f>"12_890-11/2024/Т"</f>
        <v>12_890-11/2024/Т</v>
      </c>
      <c r="B1985" s="6">
        <v>45615</v>
      </c>
      <c r="C1985" s="1" t="str">
        <f>"00038"</f>
        <v>00038</v>
      </c>
      <c r="D198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85" s="1" t="s">
        <v>20</v>
      </c>
      <c r="F1985" s="1" t="str">
        <f t="shared" si="274"/>
        <v>Центр надання адміністративних послуг Рогатинської міської ради</v>
      </c>
      <c r="G1985" s="1" t="str">
        <f t="shared" si="273"/>
        <v>Фізична особа</v>
      </c>
      <c r="H1985" s="1" t="s">
        <v>20</v>
      </c>
      <c r="I1985" s="1" t="s">
        <v>20</v>
      </c>
      <c r="J1985" s="1" t="str">
        <f t="shared" si="272"/>
        <v>Закрито</v>
      </c>
      <c r="K1985" s="5">
        <v>45615</v>
      </c>
      <c r="L1985" s="1" t="s">
        <v>20</v>
      </c>
      <c r="M1985" s="1" t="s">
        <v>22</v>
      </c>
      <c r="N1985" s="5">
        <v>45615</v>
      </c>
    </row>
    <row r="1986" spans="1:14" x14ac:dyDescent="0.3">
      <c r="A1986" s="1" t="str">
        <f>"12_891-11/2024/Т"</f>
        <v>12_891-11/2024/Т</v>
      </c>
      <c r="B1986" s="6">
        <v>45615</v>
      </c>
      <c r="C1986" s="1" t="str">
        <f>"33"</f>
        <v>33</v>
      </c>
      <c r="D1986" s="2" t="str">
        <f>"33 Довідки різного характеру"</f>
        <v>33 Довідки різного характеру</v>
      </c>
      <c r="E1986" s="1" t="s">
        <v>20</v>
      </c>
      <c r="F1986" s="1" t="str">
        <f t="shared" si="274"/>
        <v>Центр надання адміністративних послуг Рогатинської міської ради</v>
      </c>
      <c r="G1986" s="1" t="str">
        <f t="shared" si="273"/>
        <v>Фізична особа</v>
      </c>
      <c r="H1986" s="1" t="s">
        <v>20</v>
      </c>
      <c r="I1986" s="1" t="s">
        <v>20</v>
      </c>
      <c r="J1986" s="1" t="str">
        <f t="shared" si="272"/>
        <v>Закрито</v>
      </c>
      <c r="K1986" s="5">
        <v>45615</v>
      </c>
      <c r="L1986" s="1" t="s">
        <v>20</v>
      </c>
      <c r="M1986" s="1" t="s">
        <v>22</v>
      </c>
      <c r="N1986" s="5">
        <v>45615</v>
      </c>
    </row>
    <row r="1987" spans="1:14" x14ac:dyDescent="0.3">
      <c r="A1987" s="1" t="str">
        <f>"12_892-11/2024/Т"</f>
        <v>12_892-11/2024/Т</v>
      </c>
      <c r="B1987" s="6">
        <v>45615</v>
      </c>
      <c r="C1987" s="1" t="str">
        <f>"01974"</f>
        <v>01974</v>
      </c>
      <c r="D1987" s="2" t="str">
        <f>"Призначення пільги на оплату житла, комунальних послуг"</f>
        <v>Призначення пільги на оплату житла, комунальних послуг</v>
      </c>
      <c r="E1987" s="1" t="str">
        <f>"03193413"</f>
        <v>03193413</v>
      </c>
      <c r="F198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1987" s="1" t="str">
        <f t="shared" si="273"/>
        <v>Фізична особа</v>
      </c>
      <c r="H1987" s="1" t="s">
        <v>20</v>
      </c>
      <c r="I1987" s="1" t="s">
        <v>20</v>
      </c>
      <c r="J1987" s="1" t="str">
        <f t="shared" si="272"/>
        <v>Закрито</v>
      </c>
      <c r="K1987" s="5">
        <v>45653</v>
      </c>
      <c r="L1987" s="1" t="s">
        <v>20</v>
      </c>
      <c r="M1987" s="1" t="s">
        <v>22</v>
      </c>
      <c r="N1987" s="5">
        <v>45653</v>
      </c>
    </row>
    <row r="1988" spans="1:14" x14ac:dyDescent="0.3">
      <c r="A1988" s="1" t="str">
        <f>"12_893-11/2024/Т"</f>
        <v>12_893-11/2024/Т</v>
      </c>
      <c r="B1988" s="6">
        <v>45615</v>
      </c>
      <c r="C1988" s="1" t="str">
        <f>"00038"</f>
        <v>00038</v>
      </c>
      <c r="D198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88" s="1" t="s">
        <v>20</v>
      </c>
      <c r="F1988" s="1" t="str">
        <f t="shared" ref="F1988:F1994" si="275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88" s="1" t="str">
        <f t="shared" si="273"/>
        <v>Фізична особа</v>
      </c>
      <c r="H1988" s="1" t="s">
        <v>20</v>
      </c>
      <c r="I1988" s="1" t="s">
        <v>20</v>
      </c>
      <c r="J1988" s="1" t="str">
        <f t="shared" si="272"/>
        <v>Закрито</v>
      </c>
      <c r="K1988" s="5">
        <v>45615</v>
      </c>
      <c r="L1988" s="1" t="s">
        <v>20</v>
      </c>
      <c r="M1988" s="1" t="s">
        <v>22</v>
      </c>
      <c r="N1988" s="5">
        <v>45615</v>
      </c>
    </row>
    <row r="1989" spans="1:14" x14ac:dyDescent="0.3">
      <c r="A1989" s="1" t="str">
        <f>"1_5905/2129-11/2024/Ч"</f>
        <v>1_5905/2129-11/2024/Ч</v>
      </c>
      <c r="B1989" s="6">
        <v>45615</v>
      </c>
      <c r="C1989" s="1" t="str">
        <f>"00034"</f>
        <v>00034</v>
      </c>
      <c r="D1989" s="2" t="str">
        <f>"Реєстрація місця проживання"</f>
        <v>Реєстрація місця проживання</v>
      </c>
      <c r="E1989" s="1" t="s">
        <v>20</v>
      </c>
      <c r="F1989" s="1" t="str">
        <f t="shared" si="275"/>
        <v>Центр надання адміністративних послуг Рогатинської міської ради</v>
      </c>
      <c r="G1989" s="1" t="str">
        <f t="shared" si="273"/>
        <v>Фізична особа</v>
      </c>
      <c r="H1989" s="1" t="s">
        <v>20</v>
      </c>
      <c r="I1989" s="1" t="s">
        <v>20</v>
      </c>
      <c r="J1989" s="1" t="str">
        <f t="shared" si="272"/>
        <v>Закрито</v>
      </c>
      <c r="K1989" s="5">
        <v>45615</v>
      </c>
      <c r="L1989" s="1" t="str">
        <f>"45.0"</f>
        <v>45.0</v>
      </c>
      <c r="M1989" s="1" t="s">
        <v>22</v>
      </c>
      <c r="N1989" s="5">
        <v>45615</v>
      </c>
    </row>
    <row r="1990" spans="1:14" x14ac:dyDescent="0.3">
      <c r="A1990" s="1" t="str">
        <f>"5_488-11/2024/Б"</f>
        <v>5_488-11/2024/Б</v>
      </c>
      <c r="B1990" s="6">
        <v>45615</v>
      </c>
      <c r="C1990" s="1" t="str">
        <f>"00038"</f>
        <v>00038</v>
      </c>
      <c r="D199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90" s="1" t="s">
        <v>20</v>
      </c>
      <c r="F1990" s="1" t="str">
        <f t="shared" si="275"/>
        <v>Центр надання адміністративних послуг Рогатинської міської ради</v>
      </c>
      <c r="G1990" s="1" t="str">
        <f t="shared" si="273"/>
        <v>Фізична особа</v>
      </c>
      <c r="H1990" s="1" t="s">
        <v>20</v>
      </c>
      <c r="I1990" s="1" t="s">
        <v>20</v>
      </c>
      <c r="J1990" s="1" t="str">
        <f t="shared" si="272"/>
        <v>Закрито</v>
      </c>
      <c r="K1990" s="5">
        <v>45615</v>
      </c>
      <c r="L1990" s="1" t="s">
        <v>20</v>
      </c>
      <c r="M1990" s="1" t="s">
        <v>22</v>
      </c>
      <c r="N1990" s="5">
        <v>45615</v>
      </c>
    </row>
    <row r="1991" spans="1:14" x14ac:dyDescent="0.3">
      <c r="A1991" s="1" t="str">
        <f>"1_5906/2129-11/2024/К"</f>
        <v>1_5906/2129-11/2024/К</v>
      </c>
      <c r="B1991" s="6">
        <v>45615</v>
      </c>
      <c r="C1991" s="1" t="str">
        <f>"00038"</f>
        <v>00038</v>
      </c>
      <c r="D199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91" s="1" t="s">
        <v>20</v>
      </c>
      <c r="F1991" s="1" t="str">
        <f t="shared" si="275"/>
        <v>Центр надання адміністративних послуг Рогатинської міської ради</v>
      </c>
      <c r="G1991" s="1" t="str">
        <f t="shared" si="273"/>
        <v>Фізична особа</v>
      </c>
      <c r="H1991" s="1" t="s">
        <v>20</v>
      </c>
      <c r="I1991" s="1" t="s">
        <v>20</v>
      </c>
      <c r="J1991" s="1" t="str">
        <f t="shared" si="272"/>
        <v>Закрито</v>
      </c>
      <c r="K1991" s="5">
        <v>45615</v>
      </c>
      <c r="L1991" s="1" t="s">
        <v>20</v>
      </c>
      <c r="M1991" s="1" t="s">
        <v>22</v>
      </c>
      <c r="N1991" s="5">
        <v>45615</v>
      </c>
    </row>
    <row r="1992" spans="1:14" x14ac:dyDescent="0.3">
      <c r="A1992" s="1" t="str">
        <f>"1_5907/2129-11/2024/Ч"</f>
        <v>1_5907/2129-11/2024/Ч</v>
      </c>
      <c r="B1992" s="6">
        <v>45615</v>
      </c>
      <c r="C1992" s="1" t="str">
        <f>"00038"</f>
        <v>00038</v>
      </c>
      <c r="D199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92" s="1" t="s">
        <v>20</v>
      </c>
      <c r="F1992" s="1" t="str">
        <f t="shared" si="275"/>
        <v>Центр надання адміністративних послуг Рогатинської міської ради</v>
      </c>
      <c r="G1992" s="1" t="str">
        <f t="shared" si="273"/>
        <v>Фізична особа</v>
      </c>
      <c r="H1992" s="1" t="s">
        <v>20</v>
      </c>
      <c r="I1992" s="1" t="s">
        <v>20</v>
      </c>
      <c r="J1992" s="1" t="str">
        <f t="shared" si="272"/>
        <v>Закрито</v>
      </c>
      <c r="K1992" s="5">
        <v>45615</v>
      </c>
      <c r="L1992" s="1" t="s">
        <v>20</v>
      </c>
      <c r="M1992" s="1" t="s">
        <v>22</v>
      </c>
      <c r="N1992" s="5">
        <v>45615</v>
      </c>
    </row>
    <row r="1993" spans="1:14" x14ac:dyDescent="0.3">
      <c r="A1993" s="1" t="str">
        <f>"1_5908/2129-11/2024/З"</f>
        <v>1_5908/2129-11/2024/З</v>
      </c>
      <c r="B1993" s="6">
        <v>45615</v>
      </c>
      <c r="C1993" s="1" t="str">
        <f>"00033"</f>
        <v>00033</v>
      </c>
      <c r="D1993" s="2" t="str">
        <f>"Державна реєстрація смерті"</f>
        <v>Державна реєстрація смерті</v>
      </c>
      <c r="E1993" s="1" t="s">
        <v>20</v>
      </c>
      <c r="F1993" s="1" t="str">
        <f t="shared" si="275"/>
        <v>Центр надання адміністративних послуг Рогатинської міської ради</v>
      </c>
      <c r="G1993" s="1" t="str">
        <f t="shared" si="273"/>
        <v>Фізична особа</v>
      </c>
      <c r="H1993" s="1" t="s">
        <v>20</v>
      </c>
      <c r="I1993" s="1" t="s">
        <v>20</v>
      </c>
      <c r="J1993" s="1" t="str">
        <f t="shared" si="272"/>
        <v>Закрито</v>
      </c>
      <c r="K1993" s="5">
        <v>45615</v>
      </c>
      <c r="L1993" s="1" t="s">
        <v>20</v>
      </c>
      <c r="M1993" s="1" t="s">
        <v>22</v>
      </c>
      <c r="N1993" s="5">
        <v>45615</v>
      </c>
    </row>
    <row r="1994" spans="1:14" x14ac:dyDescent="0.3">
      <c r="A1994" s="1" t="str">
        <f>"1_5909/2129-11/2024/З"</f>
        <v>1_5909/2129-11/2024/З</v>
      </c>
      <c r="B1994" s="6">
        <v>45615</v>
      </c>
      <c r="C1994" s="1" t="str">
        <f>"00037"</f>
        <v>00037</v>
      </c>
      <c r="D1994" s="2" t="str">
        <f>"Зняття з реєстрації місця проживання"</f>
        <v>Зняття з реєстрації місця проживання</v>
      </c>
      <c r="E1994" s="1" t="s">
        <v>20</v>
      </c>
      <c r="F1994" s="1" t="str">
        <f t="shared" si="275"/>
        <v>Центр надання адміністративних послуг Рогатинської міської ради</v>
      </c>
      <c r="G1994" s="1" t="str">
        <f t="shared" si="273"/>
        <v>Фізична особа</v>
      </c>
      <c r="H1994" s="1" t="s">
        <v>20</v>
      </c>
      <c r="I1994" s="1" t="s">
        <v>20</v>
      </c>
      <c r="J1994" s="1" t="str">
        <f t="shared" si="272"/>
        <v>Закрито</v>
      </c>
      <c r="K1994" s="5">
        <v>45615</v>
      </c>
      <c r="L1994" s="1" t="s">
        <v>20</v>
      </c>
      <c r="M1994" s="1" t="s">
        <v>22</v>
      </c>
      <c r="N1994" s="5">
        <v>45615</v>
      </c>
    </row>
    <row r="1995" spans="1:14" x14ac:dyDescent="0.3">
      <c r="A1995" s="1" t="str">
        <f>"35_515-11/2024/Т"</f>
        <v>35_515-11/2024/Т</v>
      </c>
      <c r="B1995" s="6">
        <v>45615</v>
      </c>
      <c r="C1995" s="1" t="str">
        <f>"00244"</f>
        <v>00244</v>
      </c>
      <c r="D1995" s="2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1995" s="1" t="str">
        <f>"04054323"</f>
        <v>04054323</v>
      </c>
      <c r="F1995" s="1" t="str">
        <f>"Рогатинська міська рада"</f>
        <v>Рогатинська міська рада</v>
      </c>
      <c r="G1995" s="1" t="str">
        <f t="shared" si="273"/>
        <v>Фізична особа</v>
      </c>
      <c r="H1995" s="1" t="s">
        <v>20</v>
      </c>
      <c r="I1995" s="1" t="s">
        <v>20</v>
      </c>
      <c r="J1995" s="1" t="str">
        <f t="shared" si="272"/>
        <v>Закрито</v>
      </c>
      <c r="K1995" s="5">
        <v>45615</v>
      </c>
      <c r="L1995" s="1" t="s">
        <v>20</v>
      </c>
      <c r="M1995" s="1" t="s">
        <v>22</v>
      </c>
      <c r="N1995" s="5">
        <v>45615</v>
      </c>
    </row>
    <row r="1996" spans="1:14" x14ac:dyDescent="0.3">
      <c r="A1996" s="1" t="str">
        <f>"1_5910/2129-11/2024/В"</f>
        <v>1_5910/2129-11/2024/В</v>
      </c>
      <c r="B1996" s="6">
        <v>45615</v>
      </c>
      <c r="C1996" s="1" t="str">
        <f>"00038"</f>
        <v>00038</v>
      </c>
      <c r="D199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96" s="1" t="s">
        <v>20</v>
      </c>
      <c r="F1996" s="1" t="str">
        <f t="shared" ref="F1996:F2013" si="276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1996" s="1" t="str">
        <f t="shared" si="273"/>
        <v>Фізична особа</v>
      </c>
      <c r="H1996" s="1" t="s">
        <v>20</v>
      </c>
      <c r="I1996" s="1" t="s">
        <v>20</v>
      </c>
      <c r="J1996" s="1" t="str">
        <f t="shared" si="272"/>
        <v>Закрито</v>
      </c>
      <c r="K1996" s="5">
        <v>45615</v>
      </c>
      <c r="L1996" s="1" t="s">
        <v>20</v>
      </c>
      <c r="M1996" s="1" t="s">
        <v>22</v>
      </c>
      <c r="N1996" s="5">
        <v>45615</v>
      </c>
    </row>
    <row r="1997" spans="1:14" x14ac:dyDescent="0.3">
      <c r="A1997" s="1" t="str">
        <f>"22_551-11/2024/І"</f>
        <v>22_551-11/2024/І</v>
      </c>
      <c r="B1997" s="6">
        <v>45615</v>
      </c>
      <c r="C1997" s="1" t="str">
        <f>"00038"</f>
        <v>00038</v>
      </c>
      <c r="D199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97" s="1" t="s">
        <v>20</v>
      </c>
      <c r="F1997" s="1" t="str">
        <f t="shared" si="276"/>
        <v>Центр надання адміністративних послуг Рогатинської міської ради</v>
      </c>
      <c r="G1997" s="1" t="str">
        <f t="shared" si="273"/>
        <v>Фізична особа</v>
      </c>
      <c r="H1997" s="1" t="s">
        <v>20</v>
      </c>
      <c r="I1997" s="1" t="s">
        <v>20</v>
      </c>
      <c r="J1997" s="1" t="str">
        <f t="shared" si="272"/>
        <v>Закрито</v>
      </c>
      <c r="K1997" s="5">
        <v>45615</v>
      </c>
      <c r="L1997" s="1" t="s">
        <v>20</v>
      </c>
      <c r="M1997" s="1" t="s">
        <v>22</v>
      </c>
      <c r="N1997" s="5">
        <v>45615</v>
      </c>
    </row>
    <row r="1998" spans="1:14" x14ac:dyDescent="0.3">
      <c r="A1998" s="1" t="str">
        <f>"8_548-11/2024/Ф"</f>
        <v>8_548-11/2024/Ф</v>
      </c>
      <c r="B1998" s="6">
        <v>45615</v>
      </c>
      <c r="C1998" s="1" t="str">
        <f>"00038"</f>
        <v>00038</v>
      </c>
      <c r="D199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98" s="1" t="s">
        <v>20</v>
      </c>
      <c r="F1998" s="1" t="str">
        <f t="shared" si="276"/>
        <v>Центр надання адміністративних послуг Рогатинської міської ради</v>
      </c>
      <c r="G1998" s="1" t="str">
        <f t="shared" si="273"/>
        <v>Фізична особа</v>
      </c>
      <c r="H1998" s="1" t="s">
        <v>20</v>
      </c>
      <c r="I1998" s="1" t="s">
        <v>20</v>
      </c>
      <c r="J1998" s="1" t="str">
        <f t="shared" si="272"/>
        <v>Закрито</v>
      </c>
      <c r="K1998" s="5">
        <v>45615</v>
      </c>
      <c r="L1998" s="1" t="s">
        <v>20</v>
      </c>
      <c r="M1998" s="1" t="s">
        <v>22</v>
      </c>
      <c r="N1998" s="5">
        <v>45615</v>
      </c>
    </row>
    <row r="1999" spans="1:14" x14ac:dyDescent="0.3">
      <c r="A1999" s="1" t="str">
        <f>"8_549-11/2024/К"</f>
        <v>8_549-11/2024/К</v>
      </c>
      <c r="B1999" s="6">
        <v>45615</v>
      </c>
      <c r="C1999" s="1" t="str">
        <f>"00038"</f>
        <v>00038</v>
      </c>
      <c r="D199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1999" s="1" t="s">
        <v>20</v>
      </c>
      <c r="F1999" s="1" t="str">
        <f t="shared" si="276"/>
        <v>Центр надання адміністративних послуг Рогатинської міської ради</v>
      </c>
      <c r="G1999" s="1" t="str">
        <f t="shared" si="273"/>
        <v>Фізична особа</v>
      </c>
      <c r="H1999" s="1" t="s">
        <v>20</v>
      </c>
      <c r="I1999" s="1" t="s">
        <v>20</v>
      </c>
      <c r="J1999" s="1" t="str">
        <f t="shared" si="272"/>
        <v>Закрито</v>
      </c>
      <c r="K1999" s="5">
        <v>45615</v>
      </c>
      <c r="L1999" s="1" t="s">
        <v>20</v>
      </c>
      <c r="M1999" s="1" t="s">
        <v>22</v>
      </c>
      <c r="N1999" s="5">
        <v>45615</v>
      </c>
    </row>
    <row r="2000" spans="1:14" x14ac:dyDescent="0.3">
      <c r="A2000" s="1" t="str">
        <f>"20_181-11/2024/Д"</f>
        <v>20_181-11/2024/Д</v>
      </c>
      <c r="B2000" s="6">
        <v>45615</v>
      </c>
      <c r="C2000" s="1" t="str">
        <f>"00038"</f>
        <v>00038</v>
      </c>
      <c r="D200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00" s="1" t="s">
        <v>20</v>
      </c>
      <c r="F2000" s="1" t="str">
        <f t="shared" si="276"/>
        <v>Центр надання адміністративних послуг Рогатинської міської ради</v>
      </c>
      <c r="G2000" s="1" t="str">
        <f t="shared" si="273"/>
        <v>Фізична особа</v>
      </c>
      <c r="H2000" s="1" t="s">
        <v>20</v>
      </c>
      <c r="I2000" s="1" t="s">
        <v>20</v>
      </c>
      <c r="J2000" s="1" t="str">
        <f t="shared" si="272"/>
        <v>Закрито</v>
      </c>
      <c r="K2000" s="5">
        <v>45615</v>
      </c>
      <c r="L2000" s="1" t="s">
        <v>20</v>
      </c>
      <c r="M2000" s="1" t="s">
        <v>22</v>
      </c>
      <c r="N2000" s="5">
        <v>45615</v>
      </c>
    </row>
    <row r="2001" spans="1:14" x14ac:dyDescent="0.3">
      <c r="A2001" s="1" t="str">
        <f>"3_866-11/2024/Г"</f>
        <v>3_866-11/2024/Г</v>
      </c>
      <c r="B2001" s="6">
        <v>45615</v>
      </c>
      <c r="C2001" s="1" t="str">
        <f>"33"</f>
        <v>33</v>
      </c>
      <c r="D2001" s="2" t="str">
        <f>"33 Довідки різного характеру"</f>
        <v>33 Довідки різного характеру</v>
      </c>
      <c r="E2001" s="1" t="s">
        <v>20</v>
      </c>
      <c r="F2001" s="1" t="str">
        <f t="shared" si="276"/>
        <v>Центр надання адміністративних послуг Рогатинської міської ради</v>
      </c>
      <c r="G2001" s="1" t="str">
        <f t="shared" si="273"/>
        <v>Фізична особа</v>
      </c>
      <c r="H2001" s="1" t="s">
        <v>20</v>
      </c>
      <c r="I2001" s="1" t="s">
        <v>20</v>
      </c>
      <c r="J2001" s="1" t="str">
        <f t="shared" si="272"/>
        <v>Закрито</v>
      </c>
      <c r="K2001" s="5">
        <v>45615</v>
      </c>
      <c r="L2001" s="1" t="s">
        <v>20</v>
      </c>
      <c r="M2001" s="1" t="s">
        <v>22</v>
      </c>
      <c r="N2001" s="5">
        <v>45615</v>
      </c>
    </row>
    <row r="2002" spans="1:14" x14ac:dyDescent="0.3">
      <c r="A2002" s="1" t="str">
        <f>"6_379-11/2024/О"</f>
        <v>6_379-11/2024/О</v>
      </c>
      <c r="B2002" s="6">
        <v>45615</v>
      </c>
      <c r="C2002" s="1" t="str">
        <f>"33"</f>
        <v>33</v>
      </c>
      <c r="D2002" s="2" t="str">
        <f>"33 Довідки різного характеру"</f>
        <v>33 Довідки різного характеру</v>
      </c>
      <c r="E2002" s="1" t="s">
        <v>20</v>
      </c>
      <c r="F2002" s="1" t="str">
        <f t="shared" si="276"/>
        <v>Центр надання адміністративних послуг Рогатинської міської ради</v>
      </c>
      <c r="G2002" s="1" t="str">
        <f t="shared" si="273"/>
        <v>Фізична особа</v>
      </c>
      <c r="H2002" s="1" t="s">
        <v>20</v>
      </c>
      <c r="I2002" s="1" t="s">
        <v>20</v>
      </c>
      <c r="J2002" s="1" t="str">
        <f t="shared" si="272"/>
        <v>Закрито</v>
      </c>
      <c r="K2002" s="5">
        <v>45615</v>
      </c>
      <c r="L2002" s="1" t="s">
        <v>20</v>
      </c>
      <c r="M2002" s="1" t="s">
        <v>22</v>
      </c>
      <c r="N2002" s="5">
        <v>45615</v>
      </c>
    </row>
    <row r="2003" spans="1:14" x14ac:dyDescent="0.3">
      <c r="A2003" s="1" t="str">
        <f>"2_1999/2129-11/2024/К"</f>
        <v>2_1999/2129-11/2024/К</v>
      </c>
      <c r="B2003" s="6">
        <v>45615</v>
      </c>
      <c r="C2003" s="1" t="str">
        <f>"00042"</f>
        <v>00042</v>
      </c>
      <c r="D2003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003" s="1" t="s">
        <v>20</v>
      </c>
      <c r="F2003" s="1" t="str">
        <f t="shared" si="276"/>
        <v>Центр надання адміністративних послуг Рогатинської міської ради</v>
      </c>
      <c r="G2003" s="1" t="str">
        <f t="shared" si="273"/>
        <v>Фізична особа</v>
      </c>
      <c r="H2003" s="1" t="s">
        <v>20</v>
      </c>
      <c r="I2003" s="1" t="s">
        <v>20</v>
      </c>
      <c r="J2003" s="1" t="str">
        <f t="shared" ref="J2003:J2030" si="277">"Закрито"</f>
        <v>Закрито</v>
      </c>
      <c r="K2003" s="5">
        <v>45615</v>
      </c>
      <c r="L2003" s="1" t="s">
        <v>20</v>
      </c>
      <c r="M2003" s="1" t="s">
        <v>22</v>
      </c>
      <c r="N2003" s="5">
        <v>45615</v>
      </c>
    </row>
    <row r="2004" spans="1:14" x14ac:dyDescent="0.3">
      <c r="A2004" s="1" t="str">
        <f>"2_2000/2129-11/2024/К"</f>
        <v>2_2000/2129-11/2024/К</v>
      </c>
      <c r="B2004" s="6">
        <v>45615</v>
      </c>
      <c r="C2004" s="1" t="str">
        <f>"00042"</f>
        <v>00042</v>
      </c>
      <c r="D2004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004" s="1" t="s">
        <v>20</v>
      </c>
      <c r="F2004" s="1" t="str">
        <f t="shared" si="276"/>
        <v>Центр надання адміністративних послуг Рогатинської міської ради</v>
      </c>
      <c r="G2004" s="1" t="str">
        <f t="shared" si="273"/>
        <v>Фізична особа</v>
      </c>
      <c r="H2004" s="1" t="s">
        <v>20</v>
      </c>
      <c r="I2004" s="1" t="s">
        <v>20</v>
      </c>
      <c r="J2004" s="1" t="str">
        <f t="shared" si="277"/>
        <v>Закрито</v>
      </c>
      <c r="K2004" s="5">
        <v>45615</v>
      </c>
      <c r="L2004" s="1" t="s">
        <v>20</v>
      </c>
      <c r="M2004" s="1" t="s">
        <v>22</v>
      </c>
      <c r="N2004" s="5">
        <v>45615</v>
      </c>
    </row>
    <row r="2005" spans="1:14" x14ac:dyDescent="0.3">
      <c r="A2005" s="1" t="str">
        <f>"2_2001/2129-11/2024/К"</f>
        <v>2_2001/2129-11/2024/К</v>
      </c>
      <c r="B2005" s="6">
        <v>45615</v>
      </c>
      <c r="C2005" s="1" t="str">
        <f>"00042"</f>
        <v>00042</v>
      </c>
      <c r="D2005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005" s="1" t="s">
        <v>20</v>
      </c>
      <c r="F2005" s="1" t="str">
        <f t="shared" si="276"/>
        <v>Центр надання адміністративних послуг Рогатинської міської ради</v>
      </c>
      <c r="G2005" s="1" t="str">
        <f t="shared" si="273"/>
        <v>Фізична особа</v>
      </c>
      <c r="H2005" s="1" t="s">
        <v>20</v>
      </c>
      <c r="I2005" s="1" t="s">
        <v>20</v>
      </c>
      <c r="J2005" s="1" t="str">
        <f t="shared" si="277"/>
        <v>Закрито</v>
      </c>
      <c r="K2005" s="5">
        <v>45615</v>
      </c>
      <c r="L2005" s="1" t="s">
        <v>20</v>
      </c>
      <c r="M2005" s="1" t="s">
        <v>22</v>
      </c>
      <c r="N2005" s="5">
        <v>45615</v>
      </c>
    </row>
    <row r="2006" spans="1:14" x14ac:dyDescent="0.3">
      <c r="A2006" s="1" t="str">
        <f>"2_2002/2129-11/2024/К"</f>
        <v>2_2002/2129-11/2024/К</v>
      </c>
      <c r="B2006" s="6">
        <v>45615</v>
      </c>
      <c r="C2006" s="1" t="str">
        <f>"00042"</f>
        <v>00042</v>
      </c>
      <c r="D2006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006" s="1" t="s">
        <v>20</v>
      </c>
      <c r="F2006" s="1" t="str">
        <f t="shared" si="276"/>
        <v>Центр надання адміністративних послуг Рогатинської міської ради</v>
      </c>
      <c r="G2006" s="1" t="str">
        <f t="shared" si="273"/>
        <v>Фізична особа</v>
      </c>
      <c r="H2006" s="1" t="s">
        <v>20</v>
      </c>
      <c r="I2006" s="1" t="s">
        <v>20</v>
      </c>
      <c r="J2006" s="1" t="str">
        <f t="shared" si="277"/>
        <v>Закрито</v>
      </c>
      <c r="K2006" s="5">
        <v>45615</v>
      </c>
      <c r="L2006" s="1" t="s">
        <v>20</v>
      </c>
      <c r="M2006" s="1" t="s">
        <v>22</v>
      </c>
      <c r="N2006" s="5">
        <v>45615</v>
      </c>
    </row>
    <row r="2007" spans="1:14" x14ac:dyDescent="0.3">
      <c r="A2007" s="1" t="str">
        <f>"2_2003/2129-11/2024/В"</f>
        <v>2_2003/2129-11/2024/В</v>
      </c>
      <c r="B2007" s="6">
        <v>45615</v>
      </c>
      <c r="C2007" s="1" t="str">
        <f>"00042"</f>
        <v>00042</v>
      </c>
      <c r="D2007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007" s="1" t="s">
        <v>20</v>
      </c>
      <c r="F2007" s="1" t="str">
        <f t="shared" si="276"/>
        <v>Центр надання адміністративних послуг Рогатинської міської ради</v>
      </c>
      <c r="G2007" s="1" t="str">
        <f t="shared" si="273"/>
        <v>Фізична особа</v>
      </c>
      <c r="H2007" s="1" t="s">
        <v>20</v>
      </c>
      <c r="I2007" s="1" t="s">
        <v>20</v>
      </c>
      <c r="J2007" s="1" t="str">
        <f t="shared" si="277"/>
        <v>Закрито</v>
      </c>
      <c r="K2007" s="5">
        <v>45615</v>
      </c>
      <c r="L2007" s="1" t="s">
        <v>20</v>
      </c>
      <c r="M2007" s="1" t="s">
        <v>22</v>
      </c>
      <c r="N2007" s="5">
        <v>45615</v>
      </c>
    </row>
    <row r="2008" spans="1:14" x14ac:dyDescent="0.3">
      <c r="A2008" s="1" t="str">
        <f>"24_342-11/2024/К"</f>
        <v>24_342-11/2024/К</v>
      </c>
      <c r="B2008" s="6">
        <v>45615</v>
      </c>
      <c r="C2008" s="1" t="str">
        <f>"00038"</f>
        <v>00038</v>
      </c>
      <c r="D200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08" s="1" t="s">
        <v>20</v>
      </c>
      <c r="F2008" s="1" t="str">
        <f t="shared" si="276"/>
        <v>Центр надання адміністративних послуг Рогатинської міської ради</v>
      </c>
      <c r="G2008" s="1" t="str">
        <f t="shared" si="273"/>
        <v>Фізична особа</v>
      </c>
      <c r="H2008" s="1" t="s">
        <v>20</v>
      </c>
      <c r="I2008" s="1" t="s">
        <v>20</v>
      </c>
      <c r="J2008" s="1" t="str">
        <f t="shared" si="277"/>
        <v>Закрито</v>
      </c>
      <c r="K2008" s="5">
        <v>45615</v>
      </c>
      <c r="L2008" s="1" t="s">
        <v>20</v>
      </c>
      <c r="M2008" s="1" t="s">
        <v>22</v>
      </c>
      <c r="N2008" s="5">
        <v>45615</v>
      </c>
    </row>
    <row r="2009" spans="1:14" x14ac:dyDescent="0.3">
      <c r="A2009" s="1" t="str">
        <f>"2_2004/2129-11/2024/Б"</f>
        <v>2_2004/2129-11/2024/Б</v>
      </c>
      <c r="B2009" s="6">
        <v>45615</v>
      </c>
      <c r="C2009" s="1" t="str">
        <f>"00042"</f>
        <v>00042</v>
      </c>
      <c r="D2009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009" s="1" t="s">
        <v>20</v>
      </c>
      <c r="F2009" s="1" t="str">
        <f t="shared" si="276"/>
        <v>Центр надання адміністративних послуг Рогатинської міської ради</v>
      </c>
      <c r="G2009" s="1" t="str">
        <f t="shared" si="273"/>
        <v>Фізична особа</v>
      </c>
      <c r="H2009" s="1" t="s">
        <v>20</v>
      </c>
      <c r="I2009" s="1" t="s">
        <v>20</v>
      </c>
      <c r="J2009" s="1" t="str">
        <f t="shared" si="277"/>
        <v>Закрито</v>
      </c>
      <c r="K2009" s="5">
        <v>45615</v>
      </c>
      <c r="L2009" s="1" t="s">
        <v>20</v>
      </c>
      <c r="M2009" s="1" t="s">
        <v>22</v>
      </c>
      <c r="N2009" s="5">
        <v>45615</v>
      </c>
    </row>
    <row r="2010" spans="1:14" x14ac:dyDescent="0.3">
      <c r="A2010" s="1" t="str">
        <f>"2_2005/2129-11/2024/В"</f>
        <v>2_2005/2129-11/2024/В</v>
      </c>
      <c r="B2010" s="6">
        <v>45615</v>
      </c>
      <c r="C2010" s="1" t="str">
        <f>"00042"</f>
        <v>00042</v>
      </c>
      <c r="D2010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010" s="1" t="s">
        <v>20</v>
      </c>
      <c r="F2010" s="1" t="str">
        <f t="shared" si="276"/>
        <v>Центр надання адміністративних послуг Рогатинської міської ради</v>
      </c>
      <c r="G2010" s="1" t="str">
        <f t="shared" si="273"/>
        <v>Фізична особа</v>
      </c>
      <c r="H2010" s="1" t="s">
        <v>20</v>
      </c>
      <c r="I2010" s="1" t="s">
        <v>20</v>
      </c>
      <c r="J2010" s="1" t="str">
        <f t="shared" si="277"/>
        <v>Закрито</v>
      </c>
      <c r="K2010" s="5">
        <v>45615</v>
      </c>
      <c r="L2010" s="1" t="s">
        <v>20</v>
      </c>
      <c r="M2010" s="1" t="s">
        <v>22</v>
      </c>
      <c r="N2010" s="5">
        <v>45615</v>
      </c>
    </row>
    <row r="2011" spans="1:14" x14ac:dyDescent="0.3">
      <c r="A2011" s="1" t="str">
        <f>"2_2006/2129-11/2024/Б"</f>
        <v>2_2006/2129-11/2024/Б</v>
      </c>
      <c r="B2011" s="6">
        <v>45615</v>
      </c>
      <c r="C2011" s="1" t="str">
        <f>"00042"</f>
        <v>00042</v>
      </c>
      <c r="D2011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011" s="1" t="s">
        <v>20</v>
      </c>
      <c r="F2011" s="1" t="str">
        <f t="shared" si="276"/>
        <v>Центр надання адміністративних послуг Рогатинської міської ради</v>
      </c>
      <c r="G2011" s="1" t="str">
        <f t="shared" si="273"/>
        <v>Фізична особа</v>
      </c>
      <c r="H2011" s="1" t="s">
        <v>20</v>
      </c>
      <c r="I2011" s="1" t="s">
        <v>20</v>
      </c>
      <c r="J2011" s="1" t="str">
        <f t="shared" si="277"/>
        <v>Закрито</v>
      </c>
      <c r="K2011" s="5">
        <v>45615</v>
      </c>
      <c r="L2011" s="1" t="s">
        <v>20</v>
      </c>
      <c r="M2011" s="1" t="s">
        <v>22</v>
      </c>
      <c r="N2011" s="5">
        <v>45615</v>
      </c>
    </row>
    <row r="2012" spans="1:14" x14ac:dyDescent="0.3">
      <c r="A2012" s="1" t="str">
        <f>"2_2007/2129-11/2024/Р"</f>
        <v>2_2007/2129-11/2024/Р</v>
      </c>
      <c r="B2012" s="6">
        <v>45615</v>
      </c>
      <c r="C2012" s="1" t="str">
        <f>"00042"</f>
        <v>00042</v>
      </c>
      <c r="D2012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012" s="1" t="s">
        <v>20</v>
      </c>
      <c r="F2012" s="1" t="str">
        <f t="shared" si="276"/>
        <v>Центр надання адміністративних послуг Рогатинської міської ради</v>
      </c>
      <c r="G2012" s="1" t="str">
        <f>"Юридична особа"</f>
        <v>Юридична особа</v>
      </c>
      <c r="H2012" s="1" t="str">
        <f>"РОГАТИНСЬКА МІСЬКА РАДА"</f>
        <v>РОГАТИНСЬКА МІСЬКА РАДА</v>
      </c>
      <c r="I2012" s="1" t="str">
        <f>"04054323"</f>
        <v>04054323</v>
      </c>
      <c r="J2012" s="1" t="str">
        <f t="shared" si="277"/>
        <v>Закрито</v>
      </c>
      <c r="K2012" s="5">
        <v>45615</v>
      </c>
      <c r="L2012" s="1" t="s">
        <v>20</v>
      </c>
      <c r="M2012" s="1" t="s">
        <v>22</v>
      </c>
      <c r="N2012" s="5">
        <v>45615</v>
      </c>
    </row>
    <row r="2013" spans="1:14" x14ac:dyDescent="0.3">
      <c r="A2013" s="1" t="str">
        <f>"3_1380/2129-11/2024/В"</f>
        <v>3_1380/2129-11/2024/В</v>
      </c>
      <c r="B2013" s="6">
        <v>45615</v>
      </c>
      <c r="C2013" s="1" t="str">
        <f>"00042"</f>
        <v>00042</v>
      </c>
      <c r="D2013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013" s="1" t="s">
        <v>20</v>
      </c>
      <c r="F2013" s="1" t="str">
        <f t="shared" si="276"/>
        <v>Центр надання адміністративних послуг Рогатинської міської ради</v>
      </c>
      <c r="G2013" s="1" t="str">
        <f>"Фізична особа"</f>
        <v>Фізична особа</v>
      </c>
      <c r="H2013" s="1" t="s">
        <v>20</v>
      </c>
      <c r="I2013" s="1" t="s">
        <v>20</v>
      </c>
      <c r="J2013" s="1" t="str">
        <f t="shared" si="277"/>
        <v>Закрито</v>
      </c>
      <c r="K2013" s="5">
        <v>45615</v>
      </c>
      <c r="L2013" s="1" t="s">
        <v>20</v>
      </c>
      <c r="M2013" s="1" t="s">
        <v>22</v>
      </c>
      <c r="N2013" s="5">
        <v>45615</v>
      </c>
    </row>
    <row r="2014" spans="1:14" x14ac:dyDescent="0.3">
      <c r="A2014" s="1" t="str">
        <f>"8_78/20556981-11/2024/Р"</f>
        <v>8_78/20556981-11/2024/Р</v>
      </c>
      <c r="B2014" s="6">
        <v>45615</v>
      </c>
      <c r="C2014" s="1" t="str">
        <f>"01369"</f>
        <v>01369</v>
      </c>
      <c r="D2014" s="2" t="str">
        <f>"Комплексна послуга ""єМалятко"""</f>
        <v>Комплексна послуга "єМалятко"</v>
      </c>
      <c r="E2014" s="1" t="str">
        <f>"20556981"</f>
        <v>20556981</v>
      </c>
      <c r="F2014" s="1" t="str">
        <f>"РОГАТИНСЬКИЙ ВІДДІЛ ДЕРЖАВНОЇ РЕЄСТРАЦІЇ АКТІВ ЦИВІЛЬНОГО СТАНУ В ІВАНО-ФРАНКІВСЬКОМУ РАЙОНІ ІВАНО-ФРАНКІВСЬКОЇ ОБЛАСТІ ПІВДЕННО-ЗАХІДНОГО МІЖРЕГІОНАЛЬНОГО УПРАВЛІННЯ МІНІСТЕРСТВА ЮСТИЦІЇ"</f>
        <v>РОГАТИНСЬКИЙ ВІДДІЛ ДЕРЖАВНОЇ РЕЄСТРАЦІЇ АКТІВ ЦИВІЛЬНОГО СТАНУ В ІВАНО-ФРАНКІВСЬКОМУ РАЙОНІ ІВАНО-ФРАНКІВСЬКОЇ ОБЛАСТІ ПІВДЕННО-ЗАХІДНОГО МІЖРЕГІОНАЛЬНОГО УПРАВЛІННЯ МІНІСТЕРСТВА ЮСТИЦІЇ</v>
      </c>
      <c r="G2014" s="1" t="s">
        <v>21</v>
      </c>
      <c r="H2014" s="1" t="s">
        <v>20</v>
      </c>
      <c r="I2014" s="1" t="s">
        <v>20</v>
      </c>
      <c r="J2014" s="1" t="str">
        <f t="shared" si="277"/>
        <v>Закрито</v>
      </c>
      <c r="K2014" s="5">
        <v>45616</v>
      </c>
      <c r="L2014" s="1" t="s">
        <v>20</v>
      </c>
      <c r="M2014" s="1" t="s">
        <v>22</v>
      </c>
      <c r="N2014" s="5">
        <v>45616</v>
      </c>
    </row>
    <row r="2015" spans="1:14" x14ac:dyDescent="0.3">
      <c r="A2015" s="1" t="str">
        <f>"4_1281/03193413-11/2024/Н"</f>
        <v>4_1281/03193413-11/2024/Н</v>
      </c>
      <c r="B2015" s="6">
        <v>45615</v>
      </c>
      <c r="C2015" s="1" t="str">
        <f>"00155"</f>
        <v>00155</v>
      </c>
      <c r="D2015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015" s="1" t="str">
        <f>"03193413"</f>
        <v>03193413</v>
      </c>
      <c r="F201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15" s="1" t="str">
        <f t="shared" ref="G2015:G2035" si="278">"Фізична особа"</f>
        <v>Фізична особа</v>
      </c>
      <c r="H2015" s="1" t="s">
        <v>20</v>
      </c>
      <c r="I2015" s="1" t="s">
        <v>20</v>
      </c>
      <c r="J2015" s="1" t="str">
        <f t="shared" si="277"/>
        <v>Закрито</v>
      </c>
      <c r="K2015" s="5">
        <v>45615</v>
      </c>
      <c r="L2015" s="1" t="s">
        <v>20</v>
      </c>
      <c r="M2015" s="1" t="s">
        <v>22</v>
      </c>
      <c r="N2015" s="5">
        <v>45615</v>
      </c>
    </row>
    <row r="2016" spans="1:14" x14ac:dyDescent="0.3">
      <c r="A2016" s="1" t="str">
        <f>"2_2008/04054323-11/2024/П"</f>
        <v>2_2008/04054323-11/2024/П</v>
      </c>
      <c r="B2016" s="6">
        <v>45615</v>
      </c>
      <c r="C2016" s="1" t="str">
        <f>"00153"</f>
        <v>00153</v>
      </c>
      <c r="D2016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2016" s="1" t="str">
        <f>"04054323"</f>
        <v>04054323</v>
      </c>
      <c r="F2016" s="1" t="str">
        <f>"Рогатинська міська рада"</f>
        <v>Рогатинська міська рада</v>
      </c>
      <c r="G2016" s="1" t="str">
        <f t="shared" si="278"/>
        <v>Фізична особа</v>
      </c>
      <c r="H2016" s="1" t="s">
        <v>20</v>
      </c>
      <c r="I2016" s="1" t="s">
        <v>20</v>
      </c>
      <c r="J2016" s="1" t="str">
        <f t="shared" si="277"/>
        <v>Закрито</v>
      </c>
      <c r="K2016" s="5">
        <v>45628</v>
      </c>
      <c r="L2016" s="1" t="s">
        <v>20</v>
      </c>
      <c r="M2016" s="1" t="s">
        <v>22</v>
      </c>
      <c r="N2016" s="5">
        <v>45628</v>
      </c>
    </row>
    <row r="2017" spans="1:14" x14ac:dyDescent="0.3">
      <c r="A2017" s="1" t="str">
        <f>"2_2009/2129-11/2024/Д"</f>
        <v>2_2009/2129-11/2024/Д</v>
      </c>
      <c r="B2017" s="6">
        <v>45615</v>
      </c>
      <c r="C2017" s="1" t="str">
        <f>"00041"</f>
        <v>00041</v>
      </c>
      <c r="D201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017" s="1" t="s">
        <v>20</v>
      </c>
      <c r="F201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17" s="1" t="str">
        <f t="shared" si="278"/>
        <v>Фізична особа</v>
      </c>
      <c r="H2017" s="1" t="s">
        <v>20</v>
      </c>
      <c r="I2017" s="1" t="s">
        <v>20</v>
      </c>
      <c r="J2017" s="1" t="str">
        <f t="shared" si="277"/>
        <v>Закрито</v>
      </c>
      <c r="K2017" s="5">
        <v>45615</v>
      </c>
      <c r="L2017" s="1" t="s">
        <v>20</v>
      </c>
      <c r="M2017" s="1" t="s">
        <v>22</v>
      </c>
      <c r="N2017" s="5">
        <v>45615</v>
      </c>
    </row>
    <row r="2018" spans="1:14" x14ac:dyDescent="0.3">
      <c r="A2018" s="1" t="str">
        <f>"4_1282/03193413-11/2024/П"</f>
        <v>4_1282/03193413-11/2024/П</v>
      </c>
      <c r="B2018" s="6">
        <v>45615</v>
      </c>
      <c r="C2018" s="1" t="str">
        <f>"00155"</f>
        <v>00155</v>
      </c>
      <c r="D2018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018" s="1" t="str">
        <f>"03193413"</f>
        <v>03193413</v>
      </c>
      <c r="F201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18" s="1" t="str">
        <f t="shared" si="278"/>
        <v>Фізична особа</v>
      </c>
      <c r="H2018" s="1" t="s">
        <v>20</v>
      </c>
      <c r="I2018" s="1" t="s">
        <v>20</v>
      </c>
      <c r="J2018" s="1" t="str">
        <f t="shared" si="277"/>
        <v>Закрито</v>
      </c>
      <c r="K2018" s="5">
        <v>45615</v>
      </c>
      <c r="L2018" s="1" t="s">
        <v>20</v>
      </c>
      <c r="M2018" s="1" t="s">
        <v>22</v>
      </c>
      <c r="N2018" s="5">
        <v>45615</v>
      </c>
    </row>
    <row r="2019" spans="1:14" x14ac:dyDescent="0.3">
      <c r="A2019" s="1" t="str">
        <f>"2_2010/2129-11/2024/К"</f>
        <v>2_2010/2129-11/2024/К</v>
      </c>
      <c r="B2019" s="6">
        <v>45615</v>
      </c>
      <c r="C2019" s="1" t="str">
        <f>"00041"</f>
        <v>00041</v>
      </c>
      <c r="D201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019" s="1" t="s">
        <v>20</v>
      </c>
      <c r="F2019" s="1" t="str">
        <f t="shared" ref="F2019:F2030" si="279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19" s="1" t="str">
        <f t="shared" si="278"/>
        <v>Фізична особа</v>
      </c>
      <c r="H2019" s="1" t="s">
        <v>20</v>
      </c>
      <c r="I2019" s="1" t="s">
        <v>20</v>
      </c>
      <c r="J2019" s="1" t="str">
        <f t="shared" si="277"/>
        <v>Закрито</v>
      </c>
      <c r="K2019" s="5">
        <v>45615</v>
      </c>
      <c r="L2019" s="1" t="s">
        <v>20</v>
      </c>
      <c r="M2019" s="1" t="s">
        <v>22</v>
      </c>
      <c r="N2019" s="5">
        <v>45615</v>
      </c>
    </row>
    <row r="2020" spans="1:14" x14ac:dyDescent="0.3">
      <c r="A2020" s="1" t="str">
        <f>"11_105-11/2024/К"</f>
        <v>11_105-11/2024/К</v>
      </c>
      <c r="B2020" s="6">
        <v>45615</v>
      </c>
      <c r="C2020" s="1" t="str">
        <f>"00038"</f>
        <v>00038</v>
      </c>
      <c r="D202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20" s="1" t="s">
        <v>20</v>
      </c>
      <c r="F2020" s="1" t="str">
        <f t="shared" si="279"/>
        <v>Центр надання адміністративних послуг Рогатинської міської ради</v>
      </c>
      <c r="G2020" s="1" t="str">
        <f t="shared" si="278"/>
        <v>Фізична особа</v>
      </c>
      <c r="H2020" s="1" t="s">
        <v>20</v>
      </c>
      <c r="I2020" s="1" t="s">
        <v>20</v>
      </c>
      <c r="J2020" s="1" t="str">
        <f t="shared" si="277"/>
        <v>Закрито</v>
      </c>
      <c r="K2020" s="5">
        <v>45615</v>
      </c>
      <c r="L2020" s="1" t="s">
        <v>20</v>
      </c>
      <c r="M2020" s="1" t="s">
        <v>22</v>
      </c>
      <c r="N2020" s="5">
        <v>45615</v>
      </c>
    </row>
    <row r="2021" spans="1:14" x14ac:dyDescent="0.3">
      <c r="A2021" s="1" t="str">
        <f>"2_2011/2129-11/2024/К"</f>
        <v>2_2011/2129-11/2024/К</v>
      </c>
      <c r="B2021" s="6">
        <v>45615</v>
      </c>
      <c r="C2021" s="1" t="str">
        <f>"00041"</f>
        <v>00041</v>
      </c>
      <c r="D202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021" s="1" t="s">
        <v>20</v>
      </c>
      <c r="F2021" s="1" t="str">
        <f t="shared" si="279"/>
        <v>Центр надання адміністративних послуг Рогатинської міської ради</v>
      </c>
      <c r="G2021" s="1" t="str">
        <f t="shared" si="278"/>
        <v>Фізична особа</v>
      </c>
      <c r="H2021" s="1" t="s">
        <v>20</v>
      </c>
      <c r="I2021" s="1" t="s">
        <v>20</v>
      </c>
      <c r="J2021" s="1" t="str">
        <f t="shared" si="277"/>
        <v>Закрито</v>
      </c>
      <c r="K2021" s="5">
        <v>45615</v>
      </c>
      <c r="L2021" s="1" t="s">
        <v>20</v>
      </c>
      <c r="M2021" s="1" t="s">
        <v>22</v>
      </c>
      <c r="N2021" s="5">
        <v>45615</v>
      </c>
    </row>
    <row r="2022" spans="1:14" x14ac:dyDescent="0.3">
      <c r="A2022" s="1" t="str">
        <f>"1_5911/2129-11/2024/З"</f>
        <v>1_5911/2129-11/2024/З</v>
      </c>
      <c r="B2022" s="6">
        <v>45615</v>
      </c>
      <c r="C2022" s="1" t="str">
        <f>"00038"</f>
        <v>00038</v>
      </c>
      <c r="D202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22" s="1" t="s">
        <v>20</v>
      </c>
      <c r="F2022" s="1" t="str">
        <f t="shared" si="279"/>
        <v>Центр надання адміністративних послуг Рогатинської міської ради</v>
      </c>
      <c r="G2022" s="1" t="str">
        <f t="shared" si="278"/>
        <v>Фізична особа</v>
      </c>
      <c r="H2022" s="1" t="s">
        <v>20</v>
      </c>
      <c r="I2022" s="1" t="s">
        <v>20</v>
      </c>
      <c r="J2022" s="1" t="str">
        <f t="shared" si="277"/>
        <v>Закрито</v>
      </c>
      <c r="K2022" s="5">
        <v>45615</v>
      </c>
      <c r="L2022" s="1" t="s">
        <v>20</v>
      </c>
      <c r="M2022" s="1" t="s">
        <v>22</v>
      </c>
      <c r="N2022" s="5">
        <v>45615</v>
      </c>
    </row>
    <row r="2023" spans="1:14" x14ac:dyDescent="0.3">
      <c r="A2023" s="1" t="str">
        <f>"2_2012/2129-11/2024/К"</f>
        <v>2_2012/2129-11/2024/К</v>
      </c>
      <c r="B2023" s="6">
        <v>45615</v>
      </c>
      <c r="C2023" s="1" t="str">
        <f>"00041"</f>
        <v>00041</v>
      </c>
      <c r="D2023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023" s="1" t="s">
        <v>20</v>
      </c>
      <c r="F2023" s="1" t="str">
        <f t="shared" si="279"/>
        <v>Центр надання адміністративних послуг Рогатинської міської ради</v>
      </c>
      <c r="G2023" s="1" t="str">
        <f t="shared" si="278"/>
        <v>Фізична особа</v>
      </c>
      <c r="H2023" s="1" t="s">
        <v>20</v>
      </c>
      <c r="I2023" s="1" t="s">
        <v>20</v>
      </c>
      <c r="J2023" s="1" t="str">
        <f t="shared" si="277"/>
        <v>Закрито</v>
      </c>
      <c r="K2023" s="5">
        <v>45615</v>
      </c>
      <c r="L2023" s="1" t="s">
        <v>20</v>
      </c>
      <c r="M2023" s="1" t="s">
        <v>22</v>
      </c>
      <c r="N2023" s="5">
        <v>45615</v>
      </c>
    </row>
    <row r="2024" spans="1:14" x14ac:dyDescent="0.3">
      <c r="A2024" s="1" t="str">
        <f>"1_5912/2129-11/2024/О"</f>
        <v>1_5912/2129-11/2024/О</v>
      </c>
      <c r="B2024" s="6">
        <v>45615</v>
      </c>
      <c r="C2024" s="1" t="str">
        <f>"00038"</f>
        <v>00038</v>
      </c>
      <c r="D202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24" s="1" t="s">
        <v>20</v>
      </c>
      <c r="F2024" s="1" t="str">
        <f t="shared" si="279"/>
        <v>Центр надання адміністративних послуг Рогатинської міської ради</v>
      </c>
      <c r="G2024" s="1" t="str">
        <f t="shared" si="278"/>
        <v>Фізична особа</v>
      </c>
      <c r="H2024" s="1" t="s">
        <v>20</v>
      </c>
      <c r="I2024" s="1" t="s">
        <v>20</v>
      </c>
      <c r="J2024" s="1" t="str">
        <f t="shared" si="277"/>
        <v>Закрито</v>
      </c>
      <c r="K2024" s="5">
        <v>45615</v>
      </c>
      <c r="L2024" s="1" t="s">
        <v>20</v>
      </c>
      <c r="M2024" s="1" t="s">
        <v>22</v>
      </c>
      <c r="N2024" s="5">
        <v>45615</v>
      </c>
    </row>
    <row r="2025" spans="1:14" x14ac:dyDescent="0.3">
      <c r="A2025" s="1" t="str">
        <f>"2_2013/2129-11/2024/А"</f>
        <v>2_2013/2129-11/2024/А</v>
      </c>
      <c r="B2025" s="6">
        <v>45615</v>
      </c>
      <c r="C2025" s="1" t="str">
        <f>"00041"</f>
        <v>00041</v>
      </c>
      <c r="D202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025" s="1" t="s">
        <v>20</v>
      </c>
      <c r="F2025" s="1" t="str">
        <f t="shared" si="279"/>
        <v>Центр надання адміністративних послуг Рогатинської міської ради</v>
      </c>
      <c r="G2025" s="1" t="str">
        <f t="shared" si="278"/>
        <v>Фізична особа</v>
      </c>
      <c r="H2025" s="1" t="s">
        <v>20</v>
      </c>
      <c r="I2025" s="1" t="s">
        <v>20</v>
      </c>
      <c r="J2025" s="1" t="str">
        <f t="shared" si="277"/>
        <v>Закрито</v>
      </c>
      <c r="K2025" s="5">
        <v>45615</v>
      </c>
      <c r="L2025" s="1" t="s">
        <v>20</v>
      </c>
      <c r="M2025" s="1" t="s">
        <v>22</v>
      </c>
      <c r="N2025" s="5">
        <v>45615</v>
      </c>
    </row>
    <row r="2026" spans="1:14" x14ac:dyDescent="0.3">
      <c r="A2026" s="1" t="str">
        <f>"2_2014/2129-11/2024/В"</f>
        <v>2_2014/2129-11/2024/В</v>
      </c>
      <c r="B2026" s="6">
        <v>45615</v>
      </c>
      <c r="C2026" s="1" t="str">
        <f>"00041"</f>
        <v>00041</v>
      </c>
      <c r="D202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026" s="1" t="s">
        <v>20</v>
      </c>
      <c r="F2026" s="1" t="str">
        <f t="shared" si="279"/>
        <v>Центр надання адміністративних послуг Рогатинської міської ради</v>
      </c>
      <c r="G2026" s="1" t="str">
        <f t="shared" si="278"/>
        <v>Фізична особа</v>
      </c>
      <c r="H2026" s="1" t="s">
        <v>20</v>
      </c>
      <c r="I2026" s="1" t="s">
        <v>20</v>
      </c>
      <c r="J2026" s="1" t="str">
        <f t="shared" si="277"/>
        <v>Закрито</v>
      </c>
      <c r="K2026" s="5">
        <v>45615</v>
      </c>
      <c r="L2026" s="1" t="s">
        <v>20</v>
      </c>
      <c r="M2026" s="1" t="s">
        <v>22</v>
      </c>
      <c r="N2026" s="5">
        <v>45615</v>
      </c>
    </row>
    <row r="2027" spans="1:14" x14ac:dyDescent="0.3">
      <c r="A2027" s="1" t="str">
        <f>"26_380-11/2024/Я"</f>
        <v>26_380-11/2024/Я</v>
      </c>
      <c r="B2027" s="6">
        <v>45615</v>
      </c>
      <c r="C2027" s="1" t="str">
        <f>"00038"</f>
        <v>00038</v>
      </c>
      <c r="D202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27" s="1" t="s">
        <v>20</v>
      </c>
      <c r="F2027" s="1" t="str">
        <f t="shared" si="279"/>
        <v>Центр надання адміністративних послуг Рогатинської міської ради</v>
      </c>
      <c r="G2027" s="1" t="str">
        <f t="shared" si="278"/>
        <v>Фізична особа</v>
      </c>
      <c r="H2027" s="1" t="s">
        <v>20</v>
      </c>
      <c r="I2027" s="1" t="s">
        <v>20</v>
      </c>
      <c r="J2027" s="1" t="str">
        <f t="shared" si="277"/>
        <v>Закрито</v>
      </c>
      <c r="K2027" s="5">
        <v>45615</v>
      </c>
      <c r="L2027" s="1" t="s">
        <v>20</v>
      </c>
      <c r="M2027" s="1" t="s">
        <v>22</v>
      </c>
      <c r="N2027" s="5">
        <v>45615</v>
      </c>
    </row>
    <row r="2028" spans="1:14" x14ac:dyDescent="0.3">
      <c r="A2028" s="1" t="str">
        <f>"2_2015/2129-11/2024/В"</f>
        <v>2_2015/2129-11/2024/В</v>
      </c>
      <c r="B2028" s="6">
        <v>45615</v>
      </c>
      <c r="C2028" s="1" t="str">
        <f>"00041"</f>
        <v>00041</v>
      </c>
      <c r="D202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028" s="1" t="s">
        <v>20</v>
      </c>
      <c r="F2028" s="1" t="str">
        <f t="shared" si="279"/>
        <v>Центр надання адміністративних послуг Рогатинської міської ради</v>
      </c>
      <c r="G2028" s="1" t="str">
        <f t="shared" si="278"/>
        <v>Фізична особа</v>
      </c>
      <c r="H2028" s="1" t="s">
        <v>20</v>
      </c>
      <c r="I2028" s="1" t="s">
        <v>20</v>
      </c>
      <c r="J2028" s="1" t="str">
        <f t="shared" si="277"/>
        <v>Закрито</v>
      </c>
      <c r="K2028" s="5">
        <v>45615</v>
      </c>
      <c r="L2028" s="1" t="s">
        <v>20</v>
      </c>
      <c r="M2028" s="1" t="s">
        <v>22</v>
      </c>
      <c r="N2028" s="5">
        <v>45615</v>
      </c>
    </row>
    <row r="2029" spans="1:14" x14ac:dyDescent="0.3">
      <c r="A2029" s="1" t="str">
        <f>"2_2016/2129-11/2024/А"</f>
        <v>2_2016/2129-11/2024/А</v>
      </c>
      <c r="B2029" s="6">
        <v>45615</v>
      </c>
      <c r="C2029" s="1" t="str">
        <f>"00041"</f>
        <v>00041</v>
      </c>
      <c r="D202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029" s="1" t="s">
        <v>20</v>
      </c>
      <c r="F2029" s="1" t="str">
        <f t="shared" si="279"/>
        <v>Центр надання адміністративних послуг Рогатинської міської ради</v>
      </c>
      <c r="G2029" s="1" t="str">
        <f t="shared" si="278"/>
        <v>Фізична особа</v>
      </c>
      <c r="H2029" s="1" t="s">
        <v>20</v>
      </c>
      <c r="I2029" s="1" t="s">
        <v>20</v>
      </c>
      <c r="J2029" s="1" t="str">
        <f t="shared" si="277"/>
        <v>Закрито</v>
      </c>
      <c r="K2029" s="5">
        <v>45615</v>
      </c>
      <c r="L2029" s="1" t="s">
        <v>20</v>
      </c>
      <c r="M2029" s="1" t="s">
        <v>22</v>
      </c>
      <c r="N2029" s="5">
        <v>45615</v>
      </c>
    </row>
    <row r="2030" spans="1:14" x14ac:dyDescent="0.3">
      <c r="A2030" s="1" t="str">
        <f>"1_5913/2129-11/2024/П"</f>
        <v>1_5913/2129-11/2024/П</v>
      </c>
      <c r="B2030" s="6">
        <v>45615</v>
      </c>
      <c r="C2030" s="1" t="str">
        <f>"00037"</f>
        <v>00037</v>
      </c>
      <c r="D2030" s="2" t="str">
        <f>"Зняття з реєстрації місця проживання"</f>
        <v>Зняття з реєстрації місця проживання</v>
      </c>
      <c r="E2030" s="1" t="s">
        <v>20</v>
      </c>
      <c r="F2030" s="1" t="str">
        <f t="shared" si="279"/>
        <v>Центр надання адміністративних послуг Рогатинської міської ради</v>
      </c>
      <c r="G2030" s="1" t="str">
        <f t="shared" si="278"/>
        <v>Фізична особа</v>
      </c>
      <c r="H2030" s="1" t="s">
        <v>20</v>
      </c>
      <c r="I2030" s="1" t="s">
        <v>20</v>
      </c>
      <c r="J2030" s="1" t="str">
        <f t="shared" si="277"/>
        <v>Закрито</v>
      </c>
      <c r="K2030" s="5">
        <v>45615</v>
      </c>
      <c r="L2030" s="1" t="s">
        <v>20</v>
      </c>
      <c r="M2030" s="1" t="s">
        <v>22</v>
      </c>
      <c r="N2030" s="5">
        <v>45615</v>
      </c>
    </row>
    <row r="2031" spans="1:14" x14ac:dyDescent="0.3">
      <c r="A2031" s="1" t="str">
        <f>"4_1283/03193413-11/2024/О"</f>
        <v>4_1283/03193413-11/2024/О</v>
      </c>
      <c r="B2031" s="6">
        <v>45615</v>
      </c>
      <c r="C2031" s="1" t="str">
        <f>"01974"</f>
        <v>01974</v>
      </c>
      <c r="D2031" s="2" t="str">
        <f>"Призначення пільги на оплату житла, комунальних послуг"</f>
        <v>Призначення пільги на оплату житла, комунальних послуг</v>
      </c>
      <c r="E2031" s="1" t="str">
        <f>"03193413"</f>
        <v>03193413</v>
      </c>
      <c r="F203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31" s="1" t="str">
        <f t="shared" si="278"/>
        <v>Фізична особа</v>
      </c>
      <c r="H2031" s="1" t="s">
        <v>20</v>
      </c>
      <c r="I2031" s="1" t="s">
        <v>20</v>
      </c>
      <c r="J2031" s="1" t="str">
        <f>"На обробці в СНАП"</f>
        <v>На обробці в СНАП</v>
      </c>
      <c r="K2031" s="1" t="s">
        <v>20</v>
      </c>
      <c r="L2031" s="1" t="s">
        <v>20</v>
      </c>
      <c r="M2031" s="1" t="s">
        <v>22</v>
      </c>
      <c r="N2031" s="1" t="s">
        <v>20</v>
      </c>
    </row>
    <row r="2032" spans="1:14" x14ac:dyDescent="0.3">
      <c r="A2032" s="1" t="str">
        <f>"9_1677/04054323-11/2024/Б"</f>
        <v>9_1677/04054323-11/2024/Б</v>
      </c>
      <c r="B2032" s="6">
        <v>45615</v>
      </c>
      <c r="C2032" s="1" t="str">
        <f>"01-1"</f>
        <v>01-1</v>
      </c>
      <c r="D2032" s="2" t="s">
        <v>0</v>
      </c>
      <c r="E2032" s="1" t="str">
        <f>"04054323"</f>
        <v>04054323</v>
      </c>
      <c r="F2032" s="1" t="str">
        <f>"Рогатинська міська рада"</f>
        <v>Рогатинська міська рада</v>
      </c>
      <c r="G2032" s="1" t="str">
        <f t="shared" si="278"/>
        <v>Фізична особа</v>
      </c>
      <c r="H2032" s="1" t="s">
        <v>20</v>
      </c>
      <c r="I2032" s="1" t="s">
        <v>20</v>
      </c>
      <c r="J2032" s="1" t="str">
        <f>"На обробці в СНАП"</f>
        <v>На обробці в СНАП</v>
      </c>
      <c r="K2032" s="1" t="s">
        <v>20</v>
      </c>
      <c r="L2032" s="1" t="s">
        <v>20</v>
      </c>
      <c r="M2032" s="1" t="s">
        <v>22</v>
      </c>
      <c r="N2032" s="1" t="s">
        <v>20</v>
      </c>
    </row>
    <row r="2033" spans="1:14" x14ac:dyDescent="0.3">
      <c r="A2033" s="1" t="str">
        <f>"31_494-11/2024/П"</f>
        <v>31_494-11/2024/П</v>
      </c>
      <c r="B2033" s="6">
        <v>45615</v>
      </c>
      <c r="C2033" s="1" t="str">
        <f>"33"</f>
        <v>33</v>
      </c>
      <c r="D2033" s="2" t="str">
        <f>"33 Довідки різного характеру"</f>
        <v>33 Довідки різного характеру</v>
      </c>
      <c r="E2033" s="1" t="s">
        <v>20</v>
      </c>
      <c r="F203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33" s="1" t="str">
        <f t="shared" si="278"/>
        <v>Фізична особа</v>
      </c>
      <c r="H2033" s="1" t="s">
        <v>20</v>
      </c>
      <c r="I2033" s="1" t="s">
        <v>20</v>
      </c>
      <c r="J2033" s="1" t="str">
        <f>"Закрито"</f>
        <v>Закрито</v>
      </c>
      <c r="K2033" s="5">
        <v>45615</v>
      </c>
      <c r="L2033" s="1" t="s">
        <v>20</v>
      </c>
      <c r="M2033" s="1" t="s">
        <v>22</v>
      </c>
      <c r="N2033" s="5">
        <v>45615</v>
      </c>
    </row>
    <row r="2034" spans="1:14" x14ac:dyDescent="0.3">
      <c r="A2034" s="1" t="str">
        <f>"4_1284/03193413-11/2024/Я"</f>
        <v>4_1284/03193413-11/2024/Я</v>
      </c>
      <c r="B2034" s="6">
        <v>45615</v>
      </c>
      <c r="C2034" s="1" t="str">
        <f>"00150"</f>
        <v>00150</v>
      </c>
      <c r="D2034" s="2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2034" s="1" t="str">
        <f>"03193413"</f>
        <v>03193413</v>
      </c>
      <c r="F203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34" s="1" t="str">
        <f t="shared" si="278"/>
        <v>Фізична особа</v>
      </c>
      <c r="H2034" s="1" t="s">
        <v>20</v>
      </c>
      <c r="I2034" s="1" t="s">
        <v>20</v>
      </c>
      <c r="J2034" s="1" t="str">
        <f>"Закрито"</f>
        <v>Закрито</v>
      </c>
      <c r="K2034" s="5">
        <v>45629</v>
      </c>
      <c r="L2034" s="1" t="s">
        <v>20</v>
      </c>
      <c r="M2034" s="1" t="s">
        <v>22</v>
      </c>
      <c r="N2034" s="5">
        <v>45629</v>
      </c>
    </row>
    <row r="2035" spans="1:14" x14ac:dyDescent="0.3">
      <c r="A2035" s="1" t="str">
        <f>"4_1285/03193413-11/2024/П"</f>
        <v>4_1285/03193413-11/2024/П</v>
      </c>
      <c r="B2035" s="6">
        <v>45615</v>
      </c>
      <c r="C2035" s="1" t="str">
        <f>"00155"</f>
        <v>00155</v>
      </c>
      <c r="D2035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035" s="1" t="str">
        <f>"03193413"</f>
        <v>03193413</v>
      </c>
      <c r="F203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35" s="1" t="str">
        <f t="shared" si="278"/>
        <v>Фізична особа</v>
      </c>
      <c r="H2035" s="1" t="s">
        <v>20</v>
      </c>
      <c r="I2035" s="1" t="s">
        <v>20</v>
      </c>
      <c r="J2035" s="1" t="str">
        <f>"Закрито"</f>
        <v>Закрито</v>
      </c>
      <c r="K2035" s="5">
        <v>45629</v>
      </c>
      <c r="L2035" s="1" t="s">
        <v>20</v>
      </c>
      <c r="M2035" s="1" t="s">
        <v>22</v>
      </c>
      <c r="N2035" s="5">
        <v>45629</v>
      </c>
    </row>
    <row r="2036" spans="1:14" x14ac:dyDescent="0.3">
      <c r="A2036" s="1" t="str">
        <f>"2_2017/04054323-11/2024/Р"</f>
        <v>2_2017/04054323-11/2024/Р</v>
      </c>
      <c r="B2036" s="6">
        <v>45615</v>
      </c>
      <c r="C2036" s="1" t="str">
        <f>"00153"</f>
        <v>00153</v>
      </c>
      <c r="D2036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2036" s="1" t="str">
        <f>"04054323"</f>
        <v>04054323</v>
      </c>
      <c r="F2036" s="1" t="str">
        <f>"Рогатинська міська рада"</f>
        <v>Рогатинська міська рада</v>
      </c>
      <c r="G2036" s="1" t="str">
        <f>"Юридична особа"</f>
        <v>Юридична особа</v>
      </c>
      <c r="H2036" s="1" t="str">
        <f>"Релігійна громада УГКЦ ""Святого Архистратига Михаїла"" с. Залужжя"</f>
        <v>Релігійна громада УГКЦ "Святого Архистратига Михаїла" с. Залужжя</v>
      </c>
      <c r="I2036" s="1" t="s">
        <v>20</v>
      </c>
      <c r="J2036" s="1" t="str">
        <f>"Закрито"</f>
        <v>Закрито</v>
      </c>
      <c r="K2036" s="5">
        <v>45628</v>
      </c>
      <c r="L2036" s="1" t="s">
        <v>20</v>
      </c>
      <c r="M2036" s="1" t="s">
        <v>22</v>
      </c>
      <c r="N2036" s="5">
        <v>45628</v>
      </c>
    </row>
    <row r="2037" spans="1:14" x14ac:dyDescent="0.3">
      <c r="A2037" s="1" t="str">
        <f>"9_1678/04054323-11/2024/Р"</f>
        <v>9_1678/04054323-11/2024/Р</v>
      </c>
      <c r="B2037" s="6">
        <v>45615</v>
      </c>
      <c r="C2037" s="1" t="str">
        <f>"00199"</f>
        <v>00199</v>
      </c>
      <c r="D2037" s="2" t="str">
        <f>"00199 Видача рішення про надання дозволу на розроблення проекту землеустрою щодо відведення земельної ділянки"</f>
        <v>00199 Видача рішення про надання дозволу на розроблення проекту землеустрою щодо відведення земельної ділянки</v>
      </c>
      <c r="E2037" s="1" t="str">
        <f>"04054323"</f>
        <v>04054323</v>
      </c>
      <c r="F2037" s="1" t="str">
        <f>"Рогатинська міська рада"</f>
        <v>Рогатинська міська рада</v>
      </c>
      <c r="G2037" s="1" t="str">
        <f>"Юридична особа"</f>
        <v>Юридична особа</v>
      </c>
      <c r="H2037" s="1" t="str">
        <f>"Релігійна громада УГКЦ ""Святого Архистратига Михаїла"" с. Залужжя"</f>
        <v>Релігійна громада УГКЦ "Святого Архистратига Михаїла" с. Залужжя</v>
      </c>
      <c r="I2037" s="1" t="s">
        <v>20</v>
      </c>
      <c r="J2037" s="1" t="str">
        <f>"На обробці в СНАП"</f>
        <v>На обробці в СНАП</v>
      </c>
      <c r="K2037" s="1" t="s">
        <v>20</v>
      </c>
      <c r="L2037" s="1" t="s">
        <v>20</v>
      </c>
      <c r="M2037" s="1" t="s">
        <v>22</v>
      </c>
      <c r="N2037" s="1" t="s">
        <v>20</v>
      </c>
    </row>
    <row r="2038" spans="1:14" x14ac:dyDescent="0.3">
      <c r="A2038" s="1" t="str">
        <f>"3_867-11/2024/Г"</f>
        <v>3_867-11/2024/Г</v>
      </c>
      <c r="B2038" s="6">
        <v>45615</v>
      </c>
      <c r="C2038" s="1" t="str">
        <f>"00038"</f>
        <v>00038</v>
      </c>
      <c r="D203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38" s="1" t="s">
        <v>20</v>
      </c>
      <c r="F203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38" s="1" t="str">
        <f>"Фізична особа"</f>
        <v>Фізична особа</v>
      </c>
      <c r="H2038" s="1" t="s">
        <v>20</v>
      </c>
      <c r="I2038" s="1" t="s">
        <v>20</v>
      </c>
      <c r="J2038" s="1" t="str">
        <f>"Закрито"</f>
        <v>Закрито</v>
      </c>
      <c r="K2038" s="5">
        <v>45615</v>
      </c>
      <c r="L2038" s="1" t="s">
        <v>20</v>
      </c>
      <c r="M2038" s="1" t="s">
        <v>22</v>
      </c>
      <c r="N2038" s="5">
        <v>45615</v>
      </c>
    </row>
    <row r="2039" spans="1:14" x14ac:dyDescent="0.3">
      <c r="A2039" s="1" t="str">
        <f>"3_868-11/2024/Г"</f>
        <v>3_868-11/2024/Г</v>
      </c>
      <c r="B2039" s="6">
        <v>45615</v>
      </c>
      <c r="C2039" s="1" t="str">
        <f>"00155"</f>
        <v>00155</v>
      </c>
      <c r="D2039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039" s="1" t="str">
        <f>"03193413"</f>
        <v>03193413</v>
      </c>
      <c r="F203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39" s="1" t="str">
        <f>"Фізична особа"</f>
        <v>Фізична особа</v>
      </c>
      <c r="H2039" s="1" t="s">
        <v>20</v>
      </c>
      <c r="I2039" s="1" t="s">
        <v>20</v>
      </c>
      <c r="J2039" s="1" t="str">
        <f>"Закрито"</f>
        <v>Закрито</v>
      </c>
      <c r="K2039" s="5">
        <v>45628</v>
      </c>
      <c r="L2039" s="1" t="s">
        <v>20</v>
      </c>
      <c r="M2039" s="1" t="s">
        <v>22</v>
      </c>
      <c r="N2039" s="5">
        <v>45628</v>
      </c>
    </row>
    <row r="2040" spans="1:14" x14ac:dyDescent="0.3">
      <c r="A2040" s="1" t="str">
        <f>"31_495-11/2024/Г"</f>
        <v>31_495-11/2024/Г</v>
      </c>
      <c r="B2040" s="6">
        <v>45615</v>
      </c>
      <c r="C2040" s="1" t="str">
        <f>"00103"</f>
        <v>00103</v>
      </c>
      <c r="D2040" s="2" t="s">
        <v>1</v>
      </c>
      <c r="E2040" s="1" t="str">
        <f>"03193413"</f>
        <v>03193413</v>
      </c>
      <c r="F204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40" s="1" t="str">
        <f>"Фізична особа"</f>
        <v>Фізична особа</v>
      </c>
      <c r="H2040" s="1" t="s">
        <v>20</v>
      </c>
      <c r="I2040" s="1" t="s">
        <v>20</v>
      </c>
      <c r="J2040" s="1" t="str">
        <f>"На обробці в СНАП"</f>
        <v>На обробці в СНАП</v>
      </c>
      <c r="K2040" s="1" t="s">
        <v>20</v>
      </c>
      <c r="L2040" s="1" t="s">
        <v>20</v>
      </c>
      <c r="M2040" s="1" t="s">
        <v>22</v>
      </c>
      <c r="N2040" s="1" t="s">
        <v>20</v>
      </c>
    </row>
    <row r="2041" spans="1:14" x14ac:dyDescent="0.3">
      <c r="A2041" s="1" t="str">
        <f>"24_343-11/2024/Б"</f>
        <v>24_343-11/2024/Б</v>
      </c>
      <c r="B2041" s="6">
        <v>45615</v>
      </c>
      <c r="C2041" s="1" t="str">
        <f>"00038"</f>
        <v>00038</v>
      </c>
      <c r="D204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41" s="1" t="s">
        <v>20</v>
      </c>
      <c r="F2041" s="1" t="str">
        <f t="shared" ref="F2041:F2047" si="280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41" s="1" t="str">
        <f>"Фізична особа"</f>
        <v>Фізична особа</v>
      </c>
      <c r="H2041" s="1" t="s">
        <v>20</v>
      </c>
      <c r="I2041" s="1" t="s">
        <v>20</v>
      </c>
      <c r="J2041" s="1" t="str">
        <f t="shared" ref="J2041:J2069" si="281">"Закрито"</f>
        <v>Закрито</v>
      </c>
      <c r="K2041" s="5">
        <v>45615</v>
      </c>
      <c r="L2041" s="1" t="s">
        <v>20</v>
      </c>
      <c r="M2041" s="1" t="s">
        <v>22</v>
      </c>
      <c r="N2041" s="5">
        <v>45615</v>
      </c>
    </row>
    <row r="2042" spans="1:14" x14ac:dyDescent="0.3">
      <c r="A2042" s="1" t="str">
        <f>"1_5914/2129-11/2024/П"</f>
        <v>1_5914/2129-11/2024/П</v>
      </c>
      <c r="B2042" s="6">
        <v>45615</v>
      </c>
      <c r="C2042" s="1" t="str">
        <f>"01298"</f>
        <v>01298</v>
      </c>
      <c r="D2042" s="2" t="str">
        <f>"Видача довідки про реєстрацію місця проживання померлого,  у тому числі про поживаючих разом з померлим за однією адресою"</f>
        <v>Видача довідки про реєстрацію місця проживання померлого,  у тому числі про поживаючих разом з померлим за однією адресою</v>
      </c>
      <c r="E2042" s="1" t="s">
        <v>20</v>
      </c>
      <c r="F2042" s="1" t="str">
        <f t="shared" si="280"/>
        <v>Центр надання адміністративних послуг Рогатинської міської ради</v>
      </c>
      <c r="G2042" s="1" t="str">
        <f>"Юридична особа"</f>
        <v>Юридична особа</v>
      </c>
      <c r="H2042" s="1" t="str">
        <f>"Приватний нотаріус"</f>
        <v>Приватний нотаріус</v>
      </c>
      <c r="I2042" s="1" t="s">
        <v>20</v>
      </c>
      <c r="J2042" s="1" t="str">
        <f t="shared" si="281"/>
        <v>Закрито</v>
      </c>
      <c r="K2042" s="5">
        <v>45615</v>
      </c>
      <c r="L2042" s="1" t="s">
        <v>20</v>
      </c>
      <c r="M2042" s="1" t="s">
        <v>22</v>
      </c>
      <c r="N2042" s="5">
        <v>45615</v>
      </c>
    </row>
    <row r="2043" spans="1:14" x14ac:dyDescent="0.3">
      <c r="A2043" s="1" t="str">
        <f>"1_5915/2129-11/2024/П"</f>
        <v>1_5915/2129-11/2024/П</v>
      </c>
      <c r="B2043" s="6">
        <v>45615</v>
      </c>
      <c r="C2043" s="1" t="str">
        <f>"00038"</f>
        <v>00038</v>
      </c>
      <c r="D204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43" s="1" t="s">
        <v>20</v>
      </c>
      <c r="F2043" s="1" t="str">
        <f t="shared" si="280"/>
        <v>Центр надання адміністративних послуг Рогатинської міської ради</v>
      </c>
      <c r="G2043" s="1" t="str">
        <f>"Фізична особа"</f>
        <v>Фізична особа</v>
      </c>
      <c r="H2043" s="1" t="s">
        <v>20</v>
      </c>
      <c r="I2043" s="1" t="s">
        <v>20</v>
      </c>
      <c r="J2043" s="1" t="str">
        <f t="shared" si="281"/>
        <v>Закрито</v>
      </c>
      <c r="K2043" s="5">
        <v>45615</v>
      </c>
      <c r="L2043" s="1" t="s">
        <v>20</v>
      </c>
      <c r="M2043" s="1" t="s">
        <v>22</v>
      </c>
      <c r="N2043" s="5">
        <v>45615</v>
      </c>
    </row>
    <row r="2044" spans="1:14" x14ac:dyDescent="0.3">
      <c r="A2044" s="1" t="str">
        <f>"1_5916/2129-11/2024/П"</f>
        <v>1_5916/2129-11/2024/П</v>
      </c>
      <c r="B2044" s="6">
        <v>45615</v>
      </c>
      <c r="C2044" s="1" t="str">
        <f>"00038"</f>
        <v>00038</v>
      </c>
      <c r="D204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44" s="1" t="s">
        <v>20</v>
      </c>
      <c r="F2044" s="1" t="str">
        <f t="shared" si="280"/>
        <v>Центр надання адміністративних послуг Рогатинської міської ради</v>
      </c>
      <c r="G2044" s="1" t="str">
        <f>"Фізична особа"</f>
        <v>Фізична особа</v>
      </c>
      <c r="H2044" s="1" t="s">
        <v>20</v>
      </c>
      <c r="I2044" s="1" t="s">
        <v>20</v>
      </c>
      <c r="J2044" s="1" t="str">
        <f t="shared" si="281"/>
        <v>Закрито</v>
      </c>
      <c r="K2044" s="5">
        <v>45615</v>
      </c>
      <c r="L2044" s="1" t="s">
        <v>20</v>
      </c>
      <c r="M2044" s="1" t="s">
        <v>22</v>
      </c>
      <c r="N2044" s="5">
        <v>45615</v>
      </c>
    </row>
    <row r="2045" spans="1:14" x14ac:dyDescent="0.3">
      <c r="A2045" s="1" t="str">
        <f>"1_5917/2129-11/2024/Ш"</f>
        <v>1_5917/2129-11/2024/Ш</v>
      </c>
      <c r="B2045" s="6">
        <v>45615</v>
      </c>
      <c r="C2045" s="1" t="str">
        <f>"00038"</f>
        <v>00038</v>
      </c>
      <c r="D204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45" s="1" t="s">
        <v>20</v>
      </c>
      <c r="F2045" s="1" t="str">
        <f t="shared" si="280"/>
        <v>Центр надання адміністративних послуг Рогатинської міської ради</v>
      </c>
      <c r="G2045" s="1" t="str">
        <f>"Фізична особа"</f>
        <v>Фізична особа</v>
      </c>
      <c r="H2045" s="1" t="s">
        <v>20</v>
      </c>
      <c r="I2045" s="1" t="s">
        <v>20</v>
      </c>
      <c r="J2045" s="1" t="str">
        <f t="shared" si="281"/>
        <v>Закрито</v>
      </c>
      <c r="K2045" s="5">
        <v>45615</v>
      </c>
      <c r="L2045" s="1" t="s">
        <v>20</v>
      </c>
      <c r="M2045" s="1" t="s">
        <v>22</v>
      </c>
      <c r="N2045" s="5">
        <v>45615</v>
      </c>
    </row>
    <row r="2046" spans="1:14" x14ac:dyDescent="0.3">
      <c r="A2046" s="1" t="str">
        <f>"1_5918/2129-11/2024/Р"</f>
        <v>1_5918/2129-11/2024/Р</v>
      </c>
      <c r="B2046" s="6">
        <v>45615</v>
      </c>
      <c r="C2046" s="1" t="str">
        <f>"33"</f>
        <v>33</v>
      </c>
      <c r="D2046" s="2" t="str">
        <f>"33 Довідки різного характеру"</f>
        <v>33 Довідки різного характеру</v>
      </c>
      <c r="E2046" s="1" t="s">
        <v>20</v>
      </c>
      <c r="F2046" s="1" t="str">
        <f t="shared" si="280"/>
        <v>Центр надання адміністративних послуг Рогатинської міської ради</v>
      </c>
      <c r="G2046" s="1" t="str">
        <f>"Юридична особа"</f>
        <v>Юридична особа</v>
      </c>
      <c r="H2046" s="1" t="str">
        <f>"Рогатинський районний суд"</f>
        <v>Рогатинський районний суд</v>
      </c>
      <c r="I2046" s="1" t="s">
        <v>20</v>
      </c>
      <c r="J2046" s="1" t="str">
        <f t="shared" si="281"/>
        <v>Закрито</v>
      </c>
      <c r="K2046" s="5">
        <v>45615</v>
      </c>
      <c r="L2046" s="1" t="s">
        <v>20</v>
      </c>
      <c r="M2046" s="1" t="s">
        <v>22</v>
      </c>
      <c r="N2046" s="5">
        <v>45615</v>
      </c>
    </row>
    <row r="2047" spans="1:14" x14ac:dyDescent="0.3">
      <c r="A2047" s="1" t="str">
        <f>"24_344-11/2024/Б"</f>
        <v>24_344-11/2024/Б</v>
      </c>
      <c r="B2047" s="6">
        <v>45615</v>
      </c>
      <c r="C2047" s="1" t="str">
        <f>"00034"</f>
        <v>00034</v>
      </c>
      <c r="D2047" s="2" t="str">
        <f>"Реєстрація місця проживання"</f>
        <v>Реєстрація місця проживання</v>
      </c>
      <c r="E2047" s="1" t="s">
        <v>20</v>
      </c>
      <c r="F2047" s="1" t="str">
        <f t="shared" si="280"/>
        <v>Центр надання адміністративних послуг Рогатинської міської ради</v>
      </c>
      <c r="G2047" s="1" t="str">
        <f>"Фізична особа"</f>
        <v>Фізична особа</v>
      </c>
      <c r="H2047" s="1" t="s">
        <v>20</v>
      </c>
      <c r="I2047" s="1" t="s">
        <v>20</v>
      </c>
      <c r="J2047" s="1" t="str">
        <f t="shared" si="281"/>
        <v>Закрито</v>
      </c>
      <c r="K2047" s="5">
        <v>45615</v>
      </c>
      <c r="L2047" s="1" t="str">
        <f>"45.42"</f>
        <v>45.42</v>
      </c>
      <c r="M2047" s="1" t="s">
        <v>22</v>
      </c>
      <c r="N2047" s="5">
        <v>45615</v>
      </c>
    </row>
    <row r="2048" spans="1:14" x14ac:dyDescent="0.3">
      <c r="A2048" s="1" t="str">
        <f>"19_528-11/2024/К"</f>
        <v>19_528-11/2024/К</v>
      </c>
      <c r="B2048" s="6">
        <v>45615</v>
      </c>
      <c r="C2048" s="1" t="str">
        <f>"01974"</f>
        <v>01974</v>
      </c>
      <c r="D2048" s="2" t="str">
        <f>"Призначення пільги на оплату житла, комунальних послуг"</f>
        <v>Призначення пільги на оплату житла, комунальних послуг</v>
      </c>
      <c r="E2048" s="1" t="str">
        <f>"03193413"</f>
        <v>03193413</v>
      </c>
      <c r="F204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48" s="1" t="str">
        <f>"Фізична особа"</f>
        <v>Фізична особа</v>
      </c>
      <c r="H2048" s="1" t="s">
        <v>20</v>
      </c>
      <c r="I2048" s="1" t="s">
        <v>20</v>
      </c>
      <c r="J2048" s="1" t="str">
        <f t="shared" si="281"/>
        <v>Закрито</v>
      </c>
      <c r="K2048" s="5">
        <v>45646</v>
      </c>
      <c r="L2048" s="1" t="s">
        <v>20</v>
      </c>
      <c r="M2048" s="1" t="s">
        <v>22</v>
      </c>
      <c r="N2048" s="5">
        <v>45646</v>
      </c>
    </row>
    <row r="2049" spans="1:14" x14ac:dyDescent="0.3">
      <c r="A2049" s="1" t="str">
        <f>"19_529-11/2024/В"</f>
        <v>19_529-11/2024/В</v>
      </c>
      <c r="B2049" s="6">
        <v>45615</v>
      </c>
      <c r="C2049" s="1" t="str">
        <f>"33"</f>
        <v>33</v>
      </c>
      <c r="D2049" s="2" t="str">
        <f>"33 Довідки різного характеру"</f>
        <v>33 Довідки різного характеру</v>
      </c>
      <c r="E2049" s="1" t="s">
        <v>20</v>
      </c>
      <c r="F204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49" s="1" t="str">
        <f>"Фізична особа"</f>
        <v>Фізична особа</v>
      </c>
      <c r="H2049" s="1" t="s">
        <v>20</v>
      </c>
      <c r="I2049" s="1" t="s">
        <v>20</v>
      </c>
      <c r="J2049" s="1" t="str">
        <f t="shared" si="281"/>
        <v>Закрито</v>
      </c>
      <c r="K2049" s="5">
        <v>45615</v>
      </c>
      <c r="L2049" s="1" t="s">
        <v>20</v>
      </c>
      <c r="M2049" s="1" t="s">
        <v>22</v>
      </c>
      <c r="N2049" s="5">
        <v>45615</v>
      </c>
    </row>
    <row r="2050" spans="1:14" x14ac:dyDescent="0.3">
      <c r="A2050" s="1" t="str">
        <f>"30_628-11/2024/Г"</f>
        <v>30_628-11/2024/Г</v>
      </c>
      <c r="B2050" s="6">
        <v>45615</v>
      </c>
      <c r="C2050" s="1" t="str">
        <f>"00038"</f>
        <v>00038</v>
      </c>
      <c r="D205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50" s="1" t="s">
        <v>20</v>
      </c>
      <c r="F205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50" s="1" t="str">
        <f>"Фізична особа"</f>
        <v>Фізична особа</v>
      </c>
      <c r="H2050" s="1" t="s">
        <v>20</v>
      </c>
      <c r="I2050" s="1" t="s">
        <v>20</v>
      </c>
      <c r="J2050" s="1" t="str">
        <f t="shared" si="281"/>
        <v>Закрито</v>
      </c>
      <c r="K2050" s="5">
        <v>45615</v>
      </c>
      <c r="L2050" s="1" t="s">
        <v>20</v>
      </c>
      <c r="M2050" s="1" t="s">
        <v>22</v>
      </c>
      <c r="N2050" s="5">
        <v>45615</v>
      </c>
    </row>
    <row r="2051" spans="1:14" x14ac:dyDescent="0.3">
      <c r="A2051" s="1" t="str">
        <f>"24_345-11/2024/Б"</f>
        <v>24_345-11/2024/Б</v>
      </c>
      <c r="B2051" s="6">
        <v>45615</v>
      </c>
      <c r="C2051" s="1" t="str">
        <f>"00038"</f>
        <v>00038</v>
      </c>
      <c r="D205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51" s="1" t="s">
        <v>20</v>
      </c>
      <c r="F20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51" s="1" t="str">
        <f>"Фізична особа"</f>
        <v>Фізична особа</v>
      </c>
      <c r="H2051" s="1" t="s">
        <v>20</v>
      </c>
      <c r="I2051" s="1" t="s">
        <v>20</v>
      </c>
      <c r="J2051" s="1" t="str">
        <f t="shared" si="281"/>
        <v>Закрито</v>
      </c>
      <c r="K2051" s="5">
        <v>45615</v>
      </c>
      <c r="L2051" s="1" t="s">
        <v>20</v>
      </c>
      <c r="M2051" s="1" t="s">
        <v>22</v>
      </c>
      <c r="N2051" s="5">
        <v>45615</v>
      </c>
    </row>
    <row r="2052" spans="1:14" x14ac:dyDescent="0.3">
      <c r="A2052" s="1" t="str">
        <f>"19_530-11/2024/Ф"</f>
        <v>19_530-11/2024/Ф</v>
      </c>
      <c r="B2052" s="6">
        <v>45615</v>
      </c>
      <c r="C2052" s="1" t="str">
        <f>"01495"</f>
        <v>01495</v>
      </c>
      <c r="D2052" s="2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2052" s="1" t="s">
        <v>20</v>
      </c>
      <c r="F20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52" s="1" t="str">
        <f>"Фізична особа - підприємець"</f>
        <v>Фізична особа - підприємець</v>
      </c>
      <c r="H2052" s="1" t="str">
        <f>"ФОП Клід Оксана"</f>
        <v>ФОП Клід Оксана</v>
      </c>
      <c r="I2052" s="1" t="s">
        <v>20</v>
      </c>
      <c r="J2052" s="1" t="str">
        <f t="shared" si="281"/>
        <v>Закрито</v>
      </c>
      <c r="K2052" s="5">
        <v>45615</v>
      </c>
      <c r="L2052" s="1" t="s">
        <v>20</v>
      </c>
      <c r="M2052" s="1" t="s">
        <v>22</v>
      </c>
      <c r="N2052" s="5">
        <v>45615</v>
      </c>
    </row>
    <row r="2053" spans="1:14" x14ac:dyDescent="0.3">
      <c r="A2053" s="1" t="str">
        <f>"30_629-11/2024/Г"</f>
        <v>30_629-11/2024/Г</v>
      </c>
      <c r="B2053" s="6">
        <v>45615</v>
      </c>
      <c r="C2053" s="1" t="str">
        <f>"00155"</f>
        <v>00155</v>
      </c>
      <c r="D2053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053" s="1" t="str">
        <f>"03193413"</f>
        <v>03193413</v>
      </c>
      <c r="F205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53" s="1" t="str">
        <f t="shared" ref="G2053:G2060" si="282">"Фізична особа"</f>
        <v>Фізична особа</v>
      </c>
      <c r="H2053" s="1" t="s">
        <v>20</v>
      </c>
      <c r="I2053" s="1" t="s">
        <v>20</v>
      </c>
      <c r="J2053" s="1" t="str">
        <f t="shared" si="281"/>
        <v>Закрито</v>
      </c>
      <c r="K2053" s="1" t="s">
        <v>20</v>
      </c>
      <c r="L2053" s="1" t="s">
        <v>20</v>
      </c>
      <c r="M2053" s="1" t="s">
        <v>22</v>
      </c>
      <c r="N2053" s="1" t="s">
        <v>20</v>
      </c>
    </row>
    <row r="2054" spans="1:14" x14ac:dyDescent="0.3">
      <c r="A2054" s="1" t="str">
        <f>"14_1009-11/2024/К"</f>
        <v>14_1009-11/2024/К</v>
      </c>
      <c r="B2054" s="6">
        <v>45615</v>
      </c>
      <c r="C2054" s="1" t="str">
        <f>"33"</f>
        <v>33</v>
      </c>
      <c r="D2054" s="2" t="str">
        <f>"33 Довідки різного характеру"</f>
        <v>33 Довідки різного характеру</v>
      </c>
      <c r="E2054" s="1" t="s">
        <v>20</v>
      </c>
      <c r="F2054" s="1" t="str">
        <f t="shared" ref="F2054:F2059" si="283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54" s="1" t="str">
        <f t="shared" si="282"/>
        <v>Фізична особа</v>
      </c>
      <c r="H2054" s="1" t="s">
        <v>20</v>
      </c>
      <c r="I2054" s="1" t="s">
        <v>20</v>
      </c>
      <c r="J2054" s="1" t="str">
        <f t="shared" si="281"/>
        <v>Закрито</v>
      </c>
      <c r="K2054" s="5">
        <v>45615</v>
      </c>
      <c r="L2054" s="1" t="s">
        <v>20</v>
      </c>
      <c r="M2054" s="1" t="s">
        <v>22</v>
      </c>
      <c r="N2054" s="5">
        <v>45615</v>
      </c>
    </row>
    <row r="2055" spans="1:14" x14ac:dyDescent="0.3">
      <c r="A2055" s="1" t="str">
        <f>"1_5919/2129-11/2024/В"</f>
        <v>1_5919/2129-11/2024/В</v>
      </c>
      <c r="B2055" s="6">
        <v>45615</v>
      </c>
      <c r="C2055" s="1" t="str">
        <f>"33"</f>
        <v>33</v>
      </c>
      <c r="D2055" s="2" t="str">
        <f>"33 Довідки різного характеру"</f>
        <v>33 Довідки різного характеру</v>
      </c>
      <c r="E2055" s="1" t="s">
        <v>20</v>
      </c>
      <c r="F2055" s="1" t="str">
        <f t="shared" si="283"/>
        <v>Центр надання адміністративних послуг Рогатинської міської ради</v>
      </c>
      <c r="G2055" s="1" t="str">
        <f t="shared" si="282"/>
        <v>Фізична особа</v>
      </c>
      <c r="H2055" s="1" t="s">
        <v>20</v>
      </c>
      <c r="I2055" s="1" t="s">
        <v>20</v>
      </c>
      <c r="J2055" s="1" t="str">
        <f t="shared" si="281"/>
        <v>Закрито</v>
      </c>
      <c r="K2055" s="5">
        <v>45615</v>
      </c>
      <c r="L2055" s="1" t="s">
        <v>20</v>
      </c>
      <c r="M2055" s="1" t="s">
        <v>22</v>
      </c>
      <c r="N2055" s="5">
        <v>45615</v>
      </c>
    </row>
    <row r="2056" spans="1:14" x14ac:dyDescent="0.3">
      <c r="A2056" s="1" t="str">
        <f>"30_630-11/2024/Р"</f>
        <v>30_630-11/2024/Р</v>
      </c>
      <c r="B2056" s="6">
        <v>45615</v>
      </c>
      <c r="C2056" s="1" t="str">
        <f>"33"</f>
        <v>33</v>
      </c>
      <c r="D2056" s="2" t="str">
        <f>"33 Довідки різного характеру"</f>
        <v>33 Довідки різного характеру</v>
      </c>
      <c r="E2056" s="1" t="s">
        <v>20</v>
      </c>
      <c r="F2056" s="1" t="str">
        <f t="shared" si="283"/>
        <v>Центр надання адміністративних послуг Рогатинської міської ради</v>
      </c>
      <c r="G2056" s="1" t="str">
        <f t="shared" si="282"/>
        <v>Фізична особа</v>
      </c>
      <c r="H2056" s="1" t="s">
        <v>20</v>
      </c>
      <c r="I2056" s="1" t="s">
        <v>20</v>
      </c>
      <c r="J2056" s="1" t="str">
        <f t="shared" si="281"/>
        <v>Закрито</v>
      </c>
      <c r="K2056" s="5">
        <v>45615</v>
      </c>
      <c r="L2056" s="1" t="s">
        <v>20</v>
      </c>
      <c r="M2056" s="1" t="s">
        <v>22</v>
      </c>
      <c r="N2056" s="5">
        <v>45615</v>
      </c>
    </row>
    <row r="2057" spans="1:14" x14ac:dyDescent="0.3">
      <c r="A2057" s="1" t="str">
        <f>"1_5920/2129-11/2024/К"</f>
        <v>1_5920/2129-11/2024/К</v>
      </c>
      <c r="B2057" s="6">
        <v>45615</v>
      </c>
      <c r="C2057" s="1" t="str">
        <f>"00038"</f>
        <v>00038</v>
      </c>
      <c r="D205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57" s="1" t="s">
        <v>20</v>
      </c>
      <c r="F2057" s="1" t="str">
        <f t="shared" si="283"/>
        <v>Центр надання адміністративних послуг Рогатинської міської ради</v>
      </c>
      <c r="G2057" s="1" t="str">
        <f t="shared" si="282"/>
        <v>Фізична особа</v>
      </c>
      <c r="H2057" s="1" t="s">
        <v>20</v>
      </c>
      <c r="I2057" s="1" t="s">
        <v>20</v>
      </c>
      <c r="J2057" s="1" t="str">
        <f t="shared" si="281"/>
        <v>Закрито</v>
      </c>
      <c r="K2057" s="5">
        <v>45615</v>
      </c>
      <c r="L2057" s="1" t="s">
        <v>20</v>
      </c>
      <c r="M2057" s="1" t="s">
        <v>22</v>
      </c>
      <c r="N2057" s="5">
        <v>45615</v>
      </c>
    </row>
    <row r="2058" spans="1:14" x14ac:dyDescent="0.3">
      <c r="A2058" s="1" t="str">
        <f>"23_449-11/2024/Я"</f>
        <v>23_449-11/2024/Я</v>
      </c>
      <c r="B2058" s="6">
        <v>45615</v>
      </c>
      <c r="C2058" s="1" t="str">
        <f>"00038"</f>
        <v>00038</v>
      </c>
      <c r="D205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58" s="1" t="s">
        <v>20</v>
      </c>
      <c r="F2058" s="1" t="str">
        <f t="shared" si="283"/>
        <v>Центр надання адміністративних послуг Рогатинської міської ради</v>
      </c>
      <c r="G2058" s="1" t="str">
        <f t="shared" si="282"/>
        <v>Фізична особа</v>
      </c>
      <c r="H2058" s="1" t="s">
        <v>20</v>
      </c>
      <c r="I2058" s="1" t="s">
        <v>20</v>
      </c>
      <c r="J2058" s="1" t="str">
        <f t="shared" si="281"/>
        <v>Закрито</v>
      </c>
      <c r="K2058" s="5">
        <v>45615</v>
      </c>
      <c r="L2058" s="1" t="s">
        <v>20</v>
      </c>
      <c r="M2058" s="1" t="s">
        <v>22</v>
      </c>
      <c r="N2058" s="5">
        <v>45615</v>
      </c>
    </row>
    <row r="2059" spans="1:14" x14ac:dyDescent="0.3">
      <c r="A2059" s="1" t="str">
        <f>"23_450-11/2024/Д"</f>
        <v>23_450-11/2024/Д</v>
      </c>
      <c r="B2059" s="6">
        <v>45615</v>
      </c>
      <c r="C2059" s="1" t="str">
        <f>"00038"</f>
        <v>00038</v>
      </c>
      <c r="D205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59" s="1" t="s">
        <v>20</v>
      </c>
      <c r="F2059" s="1" t="str">
        <f t="shared" si="283"/>
        <v>Центр надання адміністративних послуг Рогатинської міської ради</v>
      </c>
      <c r="G2059" s="1" t="str">
        <f t="shared" si="282"/>
        <v>Фізична особа</v>
      </c>
      <c r="H2059" s="1" t="s">
        <v>20</v>
      </c>
      <c r="I2059" s="1" t="s">
        <v>20</v>
      </c>
      <c r="J2059" s="1" t="str">
        <f t="shared" si="281"/>
        <v>Закрито</v>
      </c>
      <c r="K2059" s="5">
        <v>45615</v>
      </c>
      <c r="L2059" s="1" t="s">
        <v>20</v>
      </c>
      <c r="M2059" s="1" t="s">
        <v>22</v>
      </c>
      <c r="N2059" s="5">
        <v>45615</v>
      </c>
    </row>
    <row r="2060" spans="1:14" x14ac:dyDescent="0.3">
      <c r="A2060" s="1" t="str">
        <f>"23_451-11/2024/К"</f>
        <v>23_451-11/2024/К</v>
      </c>
      <c r="B2060" s="6">
        <v>45615</v>
      </c>
      <c r="C2060" s="1" t="str">
        <f>"00064"</f>
        <v>00064</v>
      </c>
      <c r="D2060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060" s="1" t="s">
        <v>20</v>
      </c>
      <c r="F2060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060" s="1" t="str">
        <f t="shared" si="282"/>
        <v>Фізична особа</v>
      </c>
      <c r="H2060" s="1" t="s">
        <v>20</v>
      </c>
      <c r="I2060" s="1" t="s">
        <v>20</v>
      </c>
      <c r="J2060" s="1" t="str">
        <f t="shared" si="281"/>
        <v>Закрито</v>
      </c>
      <c r="K2060" s="1" t="s">
        <v>20</v>
      </c>
      <c r="L2060" s="1" t="s">
        <v>20</v>
      </c>
      <c r="M2060" s="1" t="s">
        <v>22</v>
      </c>
      <c r="N2060" s="1" t="s">
        <v>20</v>
      </c>
    </row>
    <row r="2061" spans="1:14" x14ac:dyDescent="0.3">
      <c r="A2061" s="1" t="str">
        <f>"2_2018/04054323-11/2024/П"</f>
        <v>2_2018/04054323-11/2024/П</v>
      </c>
      <c r="B2061" s="6">
        <v>45615</v>
      </c>
      <c r="C2061" s="1" t="str">
        <f>"01240"</f>
        <v>01240</v>
      </c>
      <c r="D2061" s="2" t="str">
        <f>"Прийняття рішення про зміну адреси об’єкта нерухомого майна"</f>
        <v>Прийняття рішення про зміну адреси об’єкта нерухомого майна</v>
      </c>
      <c r="E2061" s="1" t="str">
        <f>"04054323"</f>
        <v>04054323</v>
      </c>
      <c r="F2061" s="1" t="str">
        <f>"Рогатинська міська рада"</f>
        <v>Рогатинська міська рада</v>
      </c>
      <c r="G2061" s="1" t="s">
        <v>21</v>
      </c>
      <c r="H2061" s="1" t="s">
        <v>20</v>
      </c>
      <c r="I2061" s="1" t="s">
        <v>20</v>
      </c>
      <c r="J2061" s="1" t="str">
        <f t="shared" si="281"/>
        <v>Закрито</v>
      </c>
      <c r="K2061" s="5">
        <v>45642</v>
      </c>
      <c r="L2061" s="1" t="s">
        <v>20</v>
      </c>
      <c r="M2061" s="1" t="s">
        <v>22</v>
      </c>
      <c r="N2061" s="5">
        <v>45642</v>
      </c>
    </row>
    <row r="2062" spans="1:14" x14ac:dyDescent="0.3">
      <c r="A2062" s="1" t="str">
        <f>"15_346-11/2024/С"</f>
        <v>15_346-11/2024/С</v>
      </c>
      <c r="B2062" s="6">
        <v>45615</v>
      </c>
      <c r="C2062" s="1" t="str">
        <f>"33"</f>
        <v>33</v>
      </c>
      <c r="D2062" s="2" t="str">
        <f>"33 Довідки різного характеру"</f>
        <v>33 Довідки різного характеру</v>
      </c>
      <c r="E2062" s="1" t="s">
        <v>20</v>
      </c>
      <c r="F206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62" s="1" t="str">
        <f t="shared" ref="G2062:G2093" si="284">"Фізична особа"</f>
        <v>Фізична особа</v>
      </c>
      <c r="H2062" s="1" t="s">
        <v>20</v>
      </c>
      <c r="I2062" s="1" t="s">
        <v>20</v>
      </c>
      <c r="J2062" s="1" t="str">
        <f t="shared" si="281"/>
        <v>Закрито</v>
      </c>
      <c r="K2062" s="5">
        <v>45615</v>
      </c>
      <c r="L2062" s="1" t="s">
        <v>20</v>
      </c>
      <c r="M2062" s="1" t="s">
        <v>22</v>
      </c>
      <c r="N2062" s="5">
        <v>45615</v>
      </c>
    </row>
    <row r="2063" spans="1:14" x14ac:dyDescent="0.3">
      <c r="A2063" s="1" t="str">
        <f>"1_5921/2129-11/2024/Ф"</f>
        <v>1_5921/2129-11/2024/Ф</v>
      </c>
      <c r="B2063" s="6">
        <v>45615</v>
      </c>
      <c r="C2063" s="1" t="str">
        <f>"00038"</f>
        <v>00038</v>
      </c>
      <c r="D206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63" s="1" t="s">
        <v>20</v>
      </c>
      <c r="F206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63" s="1" t="str">
        <f t="shared" si="284"/>
        <v>Фізична особа</v>
      </c>
      <c r="H2063" s="1" t="s">
        <v>20</v>
      </c>
      <c r="I2063" s="1" t="s">
        <v>20</v>
      </c>
      <c r="J2063" s="1" t="str">
        <f t="shared" si="281"/>
        <v>Закрито</v>
      </c>
      <c r="K2063" s="5">
        <v>45615</v>
      </c>
      <c r="L2063" s="1" t="s">
        <v>20</v>
      </c>
      <c r="M2063" s="1" t="s">
        <v>22</v>
      </c>
      <c r="N2063" s="5">
        <v>45615</v>
      </c>
    </row>
    <row r="2064" spans="1:14" x14ac:dyDescent="0.3">
      <c r="A2064" s="1" t="str">
        <f>"15_347-11/2024/С"</f>
        <v>15_347-11/2024/С</v>
      </c>
      <c r="B2064" s="6">
        <v>45615</v>
      </c>
      <c r="C2064" s="1" t="str">
        <f>"00064"</f>
        <v>00064</v>
      </c>
      <c r="D2064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064" s="1" t="s">
        <v>20</v>
      </c>
      <c r="F2064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064" s="1" t="str">
        <f t="shared" si="284"/>
        <v>Фізична особа</v>
      </c>
      <c r="H2064" s="1" t="s">
        <v>20</v>
      </c>
      <c r="I2064" s="1" t="s">
        <v>20</v>
      </c>
      <c r="J2064" s="1" t="str">
        <f t="shared" si="281"/>
        <v>Закрито</v>
      </c>
      <c r="K2064" s="5">
        <v>45615</v>
      </c>
      <c r="L2064" s="1" t="s">
        <v>20</v>
      </c>
      <c r="M2064" s="1" t="s">
        <v>22</v>
      </c>
      <c r="N2064" s="5">
        <v>45615</v>
      </c>
    </row>
    <row r="2065" spans="1:14" x14ac:dyDescent="0.3">
      <c r="A2065" s="1" t="str">
        <f>"1_5922/2129-11/2024/Р"</f>
        <v>1_5922/2129-11/2024/Р</v>
      </c>
      <c r="B2065" s="6">
        <v>45615</v>
      </c>
      <c r="C2065" s="1" t="str">
        <f>"00038"</f>
        <v>00038</v>
      </c>
      <c r="D206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65" s="1" t="s">
        <v>20</v>
      </c>
      <c r="F206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65" s="1" t="str">
        <f t="shared" si="284"/>
        <v>Фізична особа</v>
      </c>
      <c r="H2065" s="1" t="s">
        <v>20</v>
      </c>
      <c r="I2065" s="1" t="s">
        <v>20</v>
      </c>
      <c r="J2065" s="1" t="str">
        <f t="shared" si="281"/>
        <v>Закрито</v>
      </c>
      <c r="K2065" s="5">
        <v>45615</v>
      </c>
      <c r="L2065" s="1" t="s">
        <v>20</v>
      </c>
      <c r="M2065" s="1" t="s">
        <v>22</v>
      </c>
      <c r="N2065" s="5">
        <v>45615</v>
      </c>
    </row>
    <row r="2066" spans="1:14" x14ac:dyDescent="0.3">
      <c r="A2066" s="1" t="str">
        <f>"15_348-11/2024/С"</f>
        <v>15_348-11/2024/С</v>
      </c>
      <c r="B2066" s="6">
        <v>45615</v>
      </c>
      <c r="C2066" s="1" t="str">
        <f>"00155"</f>
        <v>00155</v>
      </c>
      <c r="D2066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066" s="1" t="str">
        <f>"03193413"</f>
        <v>03193413</v>
      </c>
      <c r="F206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66" s="1" t="str">
        <f t="shared" si="284"/>
        <v>Фізична особа</v>
      </c>
      <c r="H2066" s="1" t="s">
        <v>20</v>
      </c>
      <c r="I2066" s="1" t="s">
        <v>20</v>
      </c>
      <c r="J2066" s="1" t="str">
        <f t="shared" si="281"/>
        <v>Закрито</v>
      </c>
      <c r="K2066" s="5">
        <v>45617</v>
      </c>
      <c r="L2066" s="1" t="s">
        <v>20</v>
      </c>
      <c r="M2066" s="1" t="s">
        <v>22</v>
      </c>
      <c r="N2066" s="5">
        <v>45617</v>
      </c>
    </row>
    <row r="2067" spans="1:14" x14ac:dyDescent="0.3">
      <c r="A2067" s="1" t="str">
        <f>"1_721-11/2024/к"</f>
        <v>1_721-11/2024/к</v>
      </c>
      <c r="B2067" s="6">
        <v>45615</v>
      </c>
      <c r="C2067" s="1" t="str">
        <f>"00038"</f>
        <v>00038</v>
      </c>
      <c r="D206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67" s="1" t="s">
        <v>20</v>
      </c>
      <c r="F206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67" s="1" t="str">
        <f t="shared" si="284"/>
        <v>Фізична особа</v>
      </c>
      <c r="H2067" s="1" t="s">
        <v>20</v>
      </c>
      <c r="I2067" s="1" t="s">
        <v>20</v>
      </c>
      <c r="J2067" s="1" t="str">
        <f t="shared" si="281"/>
        <v>Закрито</v>
      </c>
      <c r="K2067" s="5">
        <v>45615</v>
      </c>
      <c r="L2067" s="1" t="s">
        <v>20</v>
      </c>
      <c r="M2067" s="1" t="s">
        <v>22</v>
      </c>
      <c r="N2067" s="5">
        <v>45615</v>
      </c>
    </row>
    <row r="2068" spans="1:14" x14ac:dyDescent="0.3">
      <c r="A2068" s="1" t="str">
        <f>"1_722-11/2024/к"</f>
        <v>1_722-11/2024/к</v>
      </c>
      <c r="B2068" s="6">
        <v>45615</v>
      </c>
      <c r="C2068" s="1" t="str">
        <f>"00038"</f>
        <v>00038</v>
      </c>
      <c r="D206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68" s="1" t="s">
        <v>20</v>
      </c>
      <c r="F206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68" s="1" t="str">
        <f t="shared" si="284"/>
        <v>Фізична особа</v>
      </c>
      <c r="H2068" s="1" t="s">
        <v>20</v>
      </c>
      <c r="I2068" s="1" t="s">
        <v>20</v>
      </c>
      <c r="J2068" s="1" t="str">
        <f t="shared" si="281"/>
        <v>Закрито</v>
      </c>
      <c r="K2068" s="5">
        <v>45615</v>
      </c>
      <c r="L2068" s="1" t="s">
        <v>20</v>
      </c>
      <c r="M2068" s="1" t="s">
        <v>22</v>
      </c>
      <c r="N2068" s="5">
        <v>45615</v>
      </c>
    </row>
    <row r="2069" spans="1:14" x14ac:dyDescent="0.3">
      <c r="A2069" s="1" t="str">
        <f>"1_723-11/2024/к"</f>
        <v>1_723-11/2024/к</v>
      </c>
      <c r="B2069" s="6">
        <v>45615</v>
      </c>
      <c r="C2069" s="1" t="str">
        <f>"00155"</f>
        <v>00155</v>
      </c>
      <c r="D2069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069" s="1" t="str">
        <f>"03193413"</f>
        <v>03193413</v>
      </c>
      <c r="F206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69" s="1" t="str">
        <f t="shared" si="284"/>
        <v>Фізична особа</v>
      </c>
      <c r="H2069" s="1" t="s">
        <v>20</v>
      </c>
      <c r="I2069" s="1" t="s">
        <v>20</v>
      </c>
      <c r="J2069" s="1" t="str">
        <f t="shared" si="281"/>
        <v>Закрито</v>
      </c>
      <c r="K2069" s="5">
        <v>45653</v>
      </c>
      <c r="L2069" s="1" t="s">
        <v>20</v>
      </c>
      <c r="M2069" s="1" t="s">
        <v>22</v>
      </c>
      <c r="N2069" s="5">
        <v>45653</v>
      </c>
    </row>
    <row r="2070" spans="1:14" x14ac:dyDescent="0.3">
      <c r="A2070" s="1" t="str">
        <f>"9_1679/04054323-11/2024/Ш"</f>
        <v>9_1679/04054323-11/2024/Ш</v>
      </c>
      <c r="B2070" s="6">
        <v>45615</v>
      </c>
      <c r="C2070" s="1" t="str">
        <f>"01"</f>
        <v>01</v>
      </c>
      <c r="D2070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2070" s="1" t="str">
        <f>"04054323"</f>
        <v>04054323</v>
      </c>
      <c r="F2070" s="1" t="str">
        <f>"Рогатинська міська рада"</f>
        <v>Рогатинська міська рада</v>
      </c>
      <c r="G2070" s="1" t="str">
        <f t="shared" si="284"/>
        <v>Фізична особа</v>
      </c>
      <c r="H2070" s="1" t="s">
        <v>20</v>
      </c>
      <c r="I2070" s="1" t="s">
        <v>20</v>
      </c>
      <c r="J2070" s="1" t="str">
        <f>"На обробці в СНАП"</f>
        <v>На обробці в СНАП</v>
      </c>
      <c r="K2070" s="1" t="s">
        <v>20</v>
      </c>
      <c r="L2070" s="1" t="s">
        <v>20</v>
      </c>
      <c r="M2070" s="1" t="s">
        <v>22</v>
      </c>
      <c r="N2070" s="1" t="s">
        <v>20</v>
      </c>
    </row>
    <row r="2071" spans="1:14" x14ac:dyDescent="0.3">
      <c r="A2071" s="1" t="str">
        <f>"1_724-11/2024/К"</f>
        <v>1_724-11/2024/К</v>
      </c>
      <c r="B2071" s="6">
        <v>45615</v>
      </c>
      <c r="C2071" s="1" t="str">
        <f>"00038"</f>
        <v>00038</v>
      </c>
      <c r="D207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71" s="1" t="s">
        <v>20</v>
      </c>
      <c r="F2071" s="1" t="str">
        <f t="shared" ref="F2071:F2076" si="285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71" s="1" t="str">
        <f t="shared" si="284"/>
        <v>Фізична особа</v>
      </c>
      <c r="H2071" s="1" t="s">
        <v>20</v>
      </c>
      <c r="I2071" s="1" t="s">
        <v>20</v>
      </c>
      <c r="J2071" s="1" t="str">
        <f t="shared" ref="J2071:J2076" si="286">"Закрито"</f>
        <v>Закрито</v>
      </c>
      <c r="K2071" s="5">
        <v>45615</v>
      </c>
      <c r="L2071" s="1" t="s">
        <v>20</v>
      </c>
      <c r="M2071" s="1" t="s">
        <v>22</v>
      </c>
      <c r="N2071" s="5">
        <v>45615</v>
      </c>
    </row>
    <row r="2072" spans="1:14" x14ac:dyDescent="0.3">
      <c r="A2072" s="1" t="str">
        <f>"1_725-11/2024/К"</f>
        <v>1_725-11/2024/К</v>
      </c>
      <c r="B2072" s="6">
        <v>45615</v>
      </c>
      <c r="C2072" s="1" t="str">
        <f>"00038"</f>
        <v>00038</v>
      </c>
      <c r="D207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72" s="1" t="s">
        <v>20</v>
      </c>
      <c r="F2072" s="1" t="str">
        <f t="shared" si="285"/>
        <v>Центр надання адміністративних послуг Рогатинської міської ради</v>
      </c>
      <c r="G2072" s="1" t="str">
        <f t="shared" si="284"/>
        <v>Фізична особа</v>
      </c>
      <c r="H2072" s="1" t="s">
        <v>20</v>
      </c>
      <c r="I2072" s="1" t="s">
        <v>20</v>
      </c>
      <c r="J2072" s="1" t="str">
        <f t="shared" si="286"/>
        <v>Закрито</v>
      </c>
      <c r="K2072" s="5">
        <v>45615</v>
      </c>
      <c r="L2072" s="1" t="s">
        <v>20</v>
      </c>
      <c r="M2072" s="1" t="s">
        <v>22</v>
      </c>
      <c r="N2072" s="5">
        <v>45615</v>
      </c>
    </row>
    <row r="2073" spans="1:14" x14ac:dyDescent="0.3">
      <c r="A2073" s="1" t="str">
        <f>"1_5923/2129-11/2024/К"</f>
        <v>1_5923/2129-11/2024/К</v>
      </c>
      <c r="B2073" s="6">
        <v>45615</v>
      </c>
      <c r="C2073" s="1" t="str">
        <f>"00038"</f>
        <v>00038</v>
      </c>
      <c r="D207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73" s="1" t="s">
        <v>20</v>
      </c>
      <c r="F2073" s="1" t="str">
        <f t="shared" si="285"/>
        <v>Центр надання адміністративних послуг Рогатинської міської ради</v>
      </c>
      <c r="G2073" s="1" t="str">
        <f t="shared" si="284"/>
        <v>Фізична особа</v>
      </c>
      <c r="H2073" s="1" t="s">
        <v>20</v>
      </c>
      <c r="I2073" s="1" t="s">
        <v>20</v>
      </c>
      <c r="J2073" s="1" t="str">
        <f t="shared" si="286"/>
        <v>Закрито</v>
      </c>
      <c r="K2073" s="5">
        <v>45615</v>
      </c>
      <c r="L2073" s="1" t="s">
        <v>20</v>
      </c>
      <c r="M2073" s="1" t="s">
        <v>22</v>
      </c>
      <c r="N2073" s="5">
        <v>45615</v>
      </c>
    </row>
    <row r="2074" spans="1:14" x14ac:dyDescent="0.3">
      <c r="A2074" s="1" t="str">
        <f>"23_452-11/2024/С"</f>
        <v>23_452-11/2024/С</v>
      </c>
      <c r="B2074" s="6">
        <v>45615</v>
      </c>
      <c r="C2074" s="1" t="str">
        <f>"00034"</f>
        <v>00034</v>
      </c>
      <c r="D2074" s="2" t="str">
        <f>"Реєстрація місця проживання"</f>
        <v>Реєстрація місця проживання</v>
      </c>
      <c r="E2074" s="1" t="s">
        <v>20</v>
      </c>
      <c r="F2074" s="1" t="str">
        <f t="shared" si="285"/>
        <v>Центр надання адміністративних послуг Рогатинської міської ради</v>
      </c>
      <c r="G2074" s="1" t="str">
        <f t="shared" si="284"/>
        <v>Фізична особа</v>
      </c>
      <c r="H2074" s="1" t="s">
        <v>20</v>
      </c>
      <c r="I2074" s="1" t="s">
        <v>20</v>
      </c>
      <c r="J2074" s="1" t="str">
        <f t="shared" si="286"/>
        <v>Закрито</v>
      </c>
      <c r="K2074" s="1" t="s">
        <v>20</v>
      </c>
      <c r="L2074" s="1" t="s">
        <v>20</v>
      </c>
      <c r="M2074" s="1" t="s">
        <v>22</v>
      </c>
      <c r="N2074" s="1" t="s">
        <v>20</v>
      </c>
    </row>
    <row r="2075" spans="1:14" x14ac:dyDescent="0.3">
      <c r="A2075" s="1" t="str">
        <f>"33_418-11/2024/Ж"</f>
        <v>33_418-11/2024/Ж</v>
      </c>
      <c r="B2075" s="6">
        <v>45615</v>
      </c>
      <c r="C2075" s="1" t="str">
        <f>"00034"</f>
        <v>00034</v>
      </c>
      <c r="D2075" s="2" t="str">
        <f>"Реєстрація місця проживання"</f>
        <v>Реєстрація місця проживання</v>
      </c>
      <c r="E2075" s="1" t="s">
        <v>20</v>
      </c>
      <c r="F2075" s="1" t="str">
        <f t="shared" si="285"/>
        <v>Центр надання адміністративних послуг Рогатинської міської ради</v>
      </c>
      <c r="G2075" s="1" t="str">
        <f t="shared" si="284"/>
        <v>Фізична особа</v>
      </c>
      <c r="H2075" s="1" t="s">
        <v>20</v>
      </c>
      <c r="I2075" s="1" t="s">
        <v>20</v>
      </c>
      <c r="J2075" s="1" t="str">
        <f t="shared" si="286"/>
        <v>Закрито</v>
      </c>
      <c r="K2075" s="1" t="s">
        <v>20</v>
      </c>
      <c r="L2075" s="1" t="s">
        <v>20</v>
      </c>
      <c r="M2075" s="1" t="s">
        <v>22</v>
      </c>
      <c r="N2075" s="1" t="s">
        <v>20</v>
      </c>
    </row>
    <row r="2076" spans="1:14" x14ac:dyDescent="0.3">
      <c r="A2076" s="1" t="str">
        <f>"1_5924/2129-11/2024/Р"</f>
        <v>1_5924/2129-11/2024/Р</v>
      </c>
      <c r="B2076" s="6">
        <v>45615</v>
      </c>
      <c r="C2076" s="1" t="str">
        <f>"00038"</f>
        <v>00038</v>
      </c>
      <c r="D207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76" s="1" t="s">
        <v>20</v>
      </c>
      <c r="F2076" s="1" t="str">
        <f t="shared" si="285"/>
        <v>Центр надання адміністративних послуг Рогатинської міської ради</v>
      </c>
      <c r="G2076" s="1" t="str">
        <f t="shared" si="284"/>
        <v>Фізична особа</v>
      </c>
      <c r="H2076" s="1" t="s">
        <v>20</v>
      </c>
      <c r="I2076" s="1" t="s">
        <v>20</v>
      </c>
      <c r="J2076" s="1" t="str">
        <f t="shared" si="286"/>
        <v>Закрито</v>
      </c>
      <c r="K2076" s="5">
        <v>45615</v>
      </c>
      <c r="L2076" s="1" t="s">
        <v>20</v>
      </c>
      <c r="M2076" s="1" t="s">
        <v>22</v>
      </c>
      <c r="N2076" s="5">
        <v>45615</v>
      </c>
    </row>
    <row r="2077" spans="1:14" x14ac:dyDescent="0.3">
      <c r="A2077" s="1" t="str">
        <f>"31_496-11/2024/С"</f>
        <v>31_496-11/2024/С</v>
      </c>
      <c r="B2077" s="6">
        <v>45615</v>
      </c>
      <c r="C2077" s="1" t="str">
        <f>"00151"</f>
        <v>00151</v>
      </c>
      <c r="D2077" s="2" t="str">
        <f>"Призначення державної соціальної допомоги особам з інвалідністю з дитинства та дітям з інвалідністю"</f>
        <v>Призначення державної соціальної допомоги особам з інвалідністю з дитинства та дітям з інвалідністю</v>
      </c>
      <c r="E2077" s="1" t="str">
        <f>"03193413"</f>
        <v>03193413</v>
      </c>
      <c r="F207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77" s="1" t="str">
        <f t="shared" si="284"/>
        <v>Фізична особа</v>
      </c>
      <c r="H2077" s="1" t="s">
        <v>20</v>
      </c>
      <c r="I2077" s="1" t="s">
        <v>20</v>
      </c>
      <c r="J2077" s="1" t="str">
        <f>"На обробці в СНАП"</f>
        <v>На обробці в СНАП</v>
      </c>
      <c r="K2077" s="1" t="s">
        <v>20</v>
      </c>
      <c r="L2077" s="1" t="s">
        <v>20</v>
      </c>
      <c r="M2077" s="1" t="s">
        <v>22</v>
      </c>
      <c r="N2077" s="1" t="s">
        <v>20</v>
      </c>
    </row>
    <row r="2078" spans="1:14" x14ac:dyDescent="0.3">
      <c r="A2078" s="1" t="str">
        <f>"9_563-11/2024/Л"</f>
        <v>9_563-11/2024/Л</v>
      </c>
      <c r="B2078" s="6">
        <v>45615</v>
      </c>
      <c r="C2078" s="1" t="str">
        <f>"00143"</f>
        <v>00143</v>
      </c>
      <c r="D2078" s="2" t="str">
        <f>"Призначення державної допомоги у зв’язку з вагітністю та пологами жінкам, які не застраховані в системі загальнообов’язкового державного соціального страхування"</f>
        <v>Призначення державної допомоги у зв’язку з вагітністю та пологами жінкам, які не застраховані в системі загальнообов’язкового державного соціального страхування</v>
      </c>
      <c r="E2078" s="1" t="str">
        <f>"03193413"</f>
        <v>03193413</v>
      </c>
      <c r="F207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78" s="1" t="str">
        <f t="shared" si="284"/>
        <v>Фізична особа</v>
      </c>
      <c r="H2078" s="1" t="s">
        <v>20</v>
      </c>
      <c r="I2078" s="1" t="s">
        <v>20</v>
      </c>
      <c r="J2078" s="1" t="str">
        <f>"Заявника сповіщено про результат"</f>
        <v>Заявника сповіщено про результат</v>
      </c>
      <c r="K2078" s="5">
        <v>45653</v>
      </c>
      <c r="L2078" s="1" t="s">
        <v>20</v>
      </c>
      <c r="M2078" s="1" t="s">
        <v>22</v>
      </c>
      <c r="N2078" s="5">
        <v>45653</v>
      </c>
    </row>
    <row r="2079" spans="1:14" x14ac:dyDescent="0.3">
      <c r="A2079" s="1" t="str">
        <f>"33_419-11/2024/Д"</f>
        <v>33_419-11/2024/Д</v>
      </c>
      <c r="B2079" s="6">
        <v>45615</v>
      </c>
      <c r="C2079" s="1" t="str">
        <f>"00155"</f>
        <v>00155</v>
      </c>
      <c r="D2079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079" s="1" t="str">
        <f>"03193413"</f>
        <v>03193413</v>
      </c>
      <c r="F207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79" s="1" t="str">
        <f t="shared" si="284"/>
        <v>Фізична особа</v>
      </c>
      <c r="H2079" s="1" t="s">
        <v>20</v>
      </c>
      <c r="I2079" s="1" t="s">
        <v>20</v>
      </c>
      <c r="J2079" s="1" t="str">
        <f>"Закрито"</f>
        <v>Закрито</v>
      </c>
      <c r="K2079" s="1" t="s">
        <v>20</v>
      </c>
      <c r="L2079" s="1" t="s">
        <v>20</v>
      </c>
      <c r="M2079" s="1" t="s">
        <v>22</v>
      </c>
      <c r="N2079" s="1" t="s">
        <v>20</v>
      </c>
    </row>
    <row r="2080" spans="1:14" x14ac:dyDescent="0.3">
      <c r="A2080" s="1" t="str">
        <f>"18_641-11/2024/К"</f>
        <v>18_641-11/2024/К</v>
      </c>
      <c r="B2080" s="6">
        <v>45615</v>
      </c>
      <c r="C2080" s="1" t="str">
        <f>"00155"</f>
        <v>00155</v>
      </c>
      <c r="D2080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080" s="1" t="str">
        <f>"03193413"</f>
        <v>03193413</v>
      </c>
      <c r="F208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80" s="1" t="str">
        <f t="shared" si="284"/>
        <v>Фізична особа</v>
      </c>
      <c r="H2080" s="1" t="s">
        <v>20</v>
      </c>
      <c r="I2080" s="1" t="s">
        <v>20</v>
      </c>
      <c r="J2080" s="1" t="str">
        <f>"На обробці в СНАП"</f>
        <v>На обробці в СНАП</v>
      </c>
      <c r="K2080" s="1" t="s">
        <v>20</v>
      </c>
      <c r="L2080" s="1" t="s">
        <v>20</v>
      </c>
      <c r="M2080" s="1" t="s">
        <v>22</v>
      </c>
      <c r="N2080" s="1" t="s">
        <v>20</v>
      </c>
    </row>
    <row r="2081" spans="1:14" x14ac:dyDescent="0.3">
      <c r="A2081" s="1" t="str">
        <f>"18_642-11/2024/К"</f>
        <v>18_642-11/2024/К</v>
      </c>
      <c r="B2081" s="6">
        <v>45615</v>
      </c>
      <c r="C2081" s="1" t="str">
        <f>"00064"</f>
        <v>00064</v>
      </c>
      <c r="D2081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081" s="1" t="s">
        <v>20</v>
      </c>
      <c r="F2081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081" s="1" t="str">
        <f t="shared" si="284"/>
        <v>Фізична особа</v>
      </c>
      <c r="H2081" s="1" t="s">
        <v>20</v>
      </c>
      <c r="I2081" s="1" t="s">
        <v>20</v>
      </c>
      <c r="J2081" s="1" t="str">
        <f>"Закрито"</f>
        <v>Закрито</v>
      </c>
      <c r="K2081" s="5">
        <v>45615</v>
      </c>
      <c r="L2081" s="1" t="s">
        <v>20</v>
      </c>
      <c r="M2081" s="1" t="s">
        <v>22</v>
      </c>
      <c r="N2081" s="5">
        <v>45615</v>
      </c>
    </row>
    <row r="2082" spans="1:14" x14ac:dyDescent="0.3">
      <c r="A2082" s="1" t="str">
        <f>"14_1010-11/2024/Я"</f>
        <v>14_1010-11/2024/Я</v>
      </c>
      <c r="B2082" s="6">
        <v>45615</v>
      </c>
      <c r="C2082" s="1" t="str">
        <f>"00038"</f>
        <v>00038</v>
      </c>
      <c r="D208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82" s="1" t="s">
        <v>20</v>
      </c>
      <c r="F208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82" s="1" t="str">
        <f t="shared" si="284"/>
        <v>Фізична особа</v>
      </c>
      <c r="H2082" s="1" t="s">
        <v>20</v>
      </c>
      <c r="I2082" s="1" t="s">
        <v>20</v>
      </c>
      <c r="J2082" s="1" t="str">
        <f>"Закрито"</f>
        <v>Закрито</v>
      </c>
      <c r="K2082" s="5">
        <v>45615</v>
      </c>
      <c r="L2082" s="1" t="s">
        <v>20</v>
      </c>
      <c r="M2082" s="1" t="s">
        <v>22</v>
      </c>
      <c r="N2082" s="5">
        <v>45615</v>
      </c>
    </row>
    <row r="2083" spans="1:14" x14ac:dyDescent="0.3">
      <c r="A2083" s="1" t="str">
        <f>"14_1011-11/2024/Я"</f>
        <v>14_1011-11/2024/Я</v>
      </c>
      <c r="B2083" s="6">
        <v>45615</v>
      </c>
      <c r="C2083" s="1" t="str">
        <f>"00155"</f>
        <v>00155</v>
      </c>
      <c r="D2083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083" s="1" t="str">
        <f>"03193413"</f>
        <v>03193413</v>
      </c>
      <c r="F208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83" s="1" t="str">
        <f t="shared" si="284"/>
        <v>Фізична особа</v>
      </c>
      <c r="H2083" s="1" t="s">
        <v>20</v>
      </c>
      <c r="I2083" s="1" t="s">
        <v>20</v>
      </c>
      <c r="J2083" s="1" t="str">
        <f>"На обробці в СНАП"</f>
        <v>На обробці в СНАП</v>
      </c>
      <c r="K2083" s="1" t="s">
        <v>20</v>
      </c>
      <c r="L2083" s="1" t="s">
        <v>20</v>
      </c>
      <c r="M2083" s="1" t="s">
        <v>22</v>
      </c>
      <c r="N2083" s="1" t="s">
        <v>20</v>
      </c>
    </row>
    <row r="2084" spans="1:14" x14ac:dyDescent="0.3">
      <c r="A2084" s="1" t="str">
        <f>"12_894-11/2024/К"</f>
        <v>12_894-11/2024/К</v>
      </c>
      <c r="B2084" s="6">
        <v>45615</v>
      </c>
      <c r="C2084" s="1" t="str">
        <f>"00038"</f>
        <v>00038</v>
      </c>
      <c r="D208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84" s="1" t="s">
        <v>20</v>
      </c>
      <c r="F208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84" s="1" t="str">
        <f t="shared" si="284"/>
        <v>Фізична особа</v>
      </c>
      <c r="H2084" s="1" t="s">
        <v>20</v>
      </c>
      <c r="I2084" s="1" t="s">
        <v>20</v>
      </c>
      <c r="J2084" s="1" t="str">
        <f>"Закрито"</f>
        <v>Закрито</v>
      </c>
      <c r="K2084" s="5">
        <v>45615</v>
      </c>
      <c r="L2084" s="1" t="s">
        <v>20</v>
      </c>
      <c r="M2084" s="1" t="s">
        <v>22</v>
      </c>
      <c r="N2084" s="5">
        <v>45615</v>
      </c>
    </row>
    <row r="2085" spans="1:14" x14ac:dyDescent="0.3">
      <c r="A2085" s="1" t="str">
        <f>"22_552-11/2024/П"</f>
        <v>22_552-11/2024/П</v>
      </c>
      <c r="B2085" s="6">
        <v>45615</v>
      </c>
      <c r="C2085" s="1" t="str">
        <f>"00038"</f>
        <v>00038</v>
      </c>
      <c r="D208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85" s="1" t="s">
        <v>20</v>
      </c>
      <c r="F208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85" s="1" t="str">
        <f t="shared" si="284"/>
        <v>Фізична особа</v>
      </c>
      <c r="H2085" s="1" t="s">
        <v>20</v>
      </c>
      <c r="I2085" s="1" t="s">
        <v>20</v>
      </c>
      <c r="J2085" s="1" t="str">
        <f>"Закрито"</f>
        <v>Закрито</v>
      </c>
      <c r="K2085" s="5">
        <v>45615</v>
      </c>
      <c r="L2085" s="1" t="s">
        <v>20</v>
      </c>
      <c r="M2085" s="1" t="s">
        <v>22</v>
      </c>
      <c r="N2085" s="5">
        <v>45615</v>
      </c>
    </row>
    <row r="2086" spans="1:14" x14ac:dyDescent="0.3">
      <c r="A2086" s="1" t="str">
        <f>"22_553-11/2024/П"</f>
        <v>22_553-11/2024/П</v>
      </c>
      <c r="B2086" s="6">
        <v>45615</v>
      </c>
      <c r="C2086" s="1" t="str">
        <f>"00064"</f>
        <v>00064</v>
      </c>
      <c r="D2086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086" s="1" t="s">
        <v>20</v>
      </c>
      <c r="F2086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086" s="1" t="str">
        <f t="shared" si="284"/>
        <v>Фізична особа</v>
      </c>
      <c r="H2086" s="1" t="s">
        <v>20</v>
      </c>
      <c r="I2086" s="1" t="s">
        <v>20</v>
      </c>
      <c r="J2086" s="1" t="str">
        <f>"Закрито"</f>
        <v>Закрито</v>
      </c>
      <c r="K2086" s="5">
        <v>45615</v>
      </c>
      <c r="L2086" s="1" t="s">
        <v>20</v>
      </c>
      <c r="M2086" s="1" t="s">
        <v>22</v>
      </c>
      <c r="N2086" s="5">
        <v>45615</v>
      </c>
    </row>
    <row r="2087" spans="1:14" x14ac:dyDescent="0.3">
      <c r="A2087" s="1" t="str">
        <f>"22_554-11/2024/П"</f>
        <v>22_554-11/2024/П</v>
      </c>
      <c r="B2087" s="6">
        <v>45615</v>
      </c>
      <c r="C2087" s="1" t="str">
        <f>"00155"</f>
        <v>00155</v>
      </c>
      <c r="D2087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087" s="1" t="str">
        <f>"03193413"</f>
        <v>03193413</v>
      </c>
      <c r="F208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87" s="1" t="str">
        <f t="shared" si="284"/>
        <v>Фізична особа</v>
      </c>
      <c r="H2087" s="1" t="s">
        <v>20</v>
      </c>
      <c r="I2087" s="1" t="s">
        <v>20</v>
      </c>
      <c r="J2087" s="1" t="str">
        <f>"На обробці в СНАП"</f>
        <v>На обробці в СНАП</v>
      </c>
      <c r="K2087" s="1" t="s">
        <v>20</v>
      </c>
      <c r="L2087" s="1" t="s">
        <v>20</v>
      </c>
      <c r="M2087" s="1" t="s">
        <v>22</v>
      </c>
      <c r="N2087" s="1" t="s">
        <v>20</v>
      </c>
    </row>
    <row r="2088" spans="1:14" x14ac:dyDescent="0.3">
      <c r="A2088" s="1" t="str">
        <f>"4_989-11/2024/К"</f>
        <v>4_989-11/2024/К</v>
      </c>
      <c r="B2088" s="6">
        <v>45615</v>
      </c>
      <c r="C2088" s="1" t="str">
        <f>"00038"</f>
        <v>00038</v>
      </c>
      <c r="D208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88" s="1" t="s">
        <v>20</v>
      </c>
      <c r="F20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88" s="1" t="str">
        <f t="shared" si="284"/>
        <v>Фізична особа</v>
      </c>
      <c r="H2088" s="1" t="s">
        <v>20</v>
      </c>
      <c r="I2088" s="1" t="s">
        <v>20</v>
      </c>
      <c r="J2088" s="1" t="str">
        <f>"Закрито"</f>
        <v>Закрито</v>
      </c>
      <c r="K2088" s="5">
        <v>45615</v>
      </c>
      <c r="L2088" s="1" t="s">
        <v>20</v>
      </c>
      <c r="M2088" s="1" t="s">
        <v>22</v>
      </c>
      <c r="N2088" s="5">
        <v>45615</v>
      </c>
    </row>
    <row r="2089" spans="1:14" x14ac:dyDescent="0.3">
      <c r="A2089" s="1" t="str">
        <f>"4_990-11/2024/П"</f>
        <v>4_990-11/2024/П</v>
      </c>
      <c r="B2089" s="6">
        <v>45615</v>
      </c>
      <c r="C2089" s="1" t="str">
        <f>"00155"</f>
        <v>00155</v>
      </c>
      <c r="D2089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089" s="1" t="str">
        <f>"03193413"</f>
        <v>03193413</v>
      </c>
      <c r="F208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89" s="1" t="str">
        <f t="shared" si="284"/>
        <v>Фізична особа</v>
      </c>
      <c r="H2089" s="1" t="s">
        <v>20</v>
      </c>
      <c r="I2089" s="1" t="s">
        <v>20</v>
      </c>
      <c r="J2089" s="1" t="str">
        <f>"Заявника сповіщено про результат"</f>
        <v>Заявника сповіщено про результат</v>
      </c>
      <c r="K2089" s="5">
        <v>45623</v>
      </c>
      <c r="L2089" s="1" t="s">
        <v>20</v>
      </c>
      <c r="M2089" s="1" t="s">
        <v>22</v>
      </c>
      <c r="N2089" s="5">
        <v>45623</v>
      </c>
    </row>
    <row r="2090" spans="1:14" x14ac:dyDescent="0.3">
      <c r="A2090" s="1" t="str">
        <f>"4_991-11/2024/Щ"</f>
        <v>4_991-11/2024/Щ</v>
      </c>
      <c r="B2090" s="6">
        <v>45615</v>
      </c>
      <c r="C2090" s="1" t="str">
        <f>"01974"</f>
        <v>01974</v>
      </c>
      <c r="D2090" s="2" t="str">
        <f>"Призначення пільги на оплату житла, комунальних послуг"</f>
        <v>Призначення пільги на оплату житла, комунальних послуг</v>
      </c>
      <c r="E2090" s="1" t="str">
        <f>"03193413"</f>
        <v>03193413</v>
      </c>
      <c r="F209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090" s="1" t="str">
        <f t="shared" si="284"/>
        <v>Фізична особа</v>
      </c>
      <c r="H2090" s="1" t="s">
        <v>20</v>
      </c>
      <c r="I2090" s="1" t="s">
        <v>20</v>
      </c>
      <c r="J2090" s="1" t="str">
        <f>"На обробці в СНАП"</f>
        <v>На обробці в СНАП</v>
      </c>
      <c r="K2090" s="1" t="s">
        <v>20</v>
      </c>
      <c r="L2090" s="1" t="s">
        <v>20</v>
      </c>
      <c r="M2090" s="1" t="s">
        <v>22</v>
      </c>
      <c r="N2090" s="1" t="s">
        <v>20</v>
      </c>
    </row>
    <row r="2091" spans="1:14" x14ac:dyDescent="0.3">
      <c r="A2091" s="1" t="str">
        <f>"4_992-11/2024/Щ"</f>
        <v>4_992-11/2024/Щ</v>
      </c>
      <c r="B2091" s="6">
        <v>45615</v>
      </c>
      <c r="C2091" s="1" t="str">
        <f>"00038"</f>
        <v>00038</v>
      </c>
      <c r="D209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91" s="1" t="s">
        <v>20</v>
      </c>
      <c r="F209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91" s="1" t="str">
        <f t="shared" si="284"/>
        <v>Фізична особа</v>
      </c>
      <c r="H2091" s="1" t="s">
        <v>20</v>
      </c>
      <c r="I2091" s="1" t="s">
        <v>20</v>
      </c>
      <c r="J2091" s="1" t="str">
        <f t="shared" ref="J2091:J2119" si="287">"Закрито"</f>
        <v>Закрито</v>
      </c>
      <c r="K2091" s="5">
        <v>45615</v>
      </c>
      <c r="L2091" s="1" t="s">
        <v>20</v>
      </c>
      <c r="M2091" s="1" t="s">
        <v>22</v>
      </c>
      <c r="N2091" s="5">
        <v>45615</v>
      </c>
    </row>
    <row r="2092" spans="1:14" x14ac:dyDescent="0.3">
      <c r="A2092" s="1" t="str">
        <f>"4_993-11/2024/Г"</f>
        <v>4_993-11/2024/Г</v>
      </c>
      <c r="B2092" s="6">
        <v>45615</v>
      </c>
      <c r="C2092" s="1" t="str">
        <f>"33"</f>
        <v>33</v>
      </c>
      <c r="D2092" s="2" t="str">
        <f>"33 Довідки різного характеру"</f>
        <v>33 Довідки різного характеру</v>
      </c>
      <c r="E2092" s="1" t="s">
        <v>20</v>
      </c>
      <c r="F209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92" s="1" t="str">
        <f t="shared" si="284"/>
        <v>Фізична особа</v>
      </c>
      <c r="H2092" s="1" t="s">
        <v>20</v>
      </c>
      <c r="I2092" s="1" t="s">
        <v>20</v>
      </c>
      <c r="J2092" s="1" t="str">
        <f t="shared" si="287"/>
        <v>Закрито</v>
      </c>
      <c r="K2092" s="5">
        <v>45615</v>
      </c>
      <c r="L2092" s="1" t="s">
        <v>20</v>
      </c>
      <c r="M2092" s="1" t="s">
        <v>22</v>
      </c>
      <c r="N2092" s="5">
        <v>45615</v>
      </c>
    </row>
    <row r="2093" spans="1:14" x14ac:dyDescent="0.3">
      <c r="A2093" s="1" t="str">
        <f>"4_994-11/2024/Щ"</f>
        <v>4_994-11/2024/Щ</v>
      </c>
      <c r="B2093" s="6">
        <v>45615</v>
      </c>
      <c r="C2093" s="1" t="str">
        <f>"33"</f>
        <v>33</v>
      </c>
      <c r="D2093" s="2" t="str">
        <f>"33 Довідки різного характеру"</f>
        <v>33 Довідки різного характеру</v>
      </c>
      <c r="E2093" s="1" t="s">
        <v>20</v>
      </c>
      <c r="F209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93" s="1" t="str">
        <f t="shared" si="284"/>
        <v>Фізична особа</v>
      </c>
      <c r="H2093" s="1" t="s">
        <v>20</v>
      </c>
      <c r="I2093" s="1" t="s">
        <v>20</v>
      </c>
      <c r="J2093" s="1" t="str">
        <f t="shared" si="287"/>
        <v>Закрито</v>
      </c>
      <c r="K2093" s="5">
        <v>45615</v>
      </c>
      <c r="L2093" s="1" t="s">
        <v>20</v>
      </c>
      <c r="M2093" s="1" t="s">
        <v>22</v>
      </c>
      <c r="N2093" s="5">
        <v>45615</v>
      </c>
    </row>
    <row r="2094" spans="1:14" x14ac:dyDescent="0.3">
      <c r="A2094" s="1" t="str">
        <f>"3_1381/4-11/2024/Р"</f>
        <v>3_1381/4-11/2024/Р</v>
      </c>
      <c r="B2094" s="6">
        <v>45616</v>
      </c>
      <c r="C2094" s="1" t="str">
        <f>"00060"</f>
        <v>00060</v>
      </c>
      <c r="D2094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094" s="1" t="s">
        <v>20</v>
      </c>
      <c r="F2094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094" s="1" t="str">
        <f t="shared" ref="G2094:G2125" si="288">"Фізична особа"</f>
        <v>Фізична особа</v>
      </c>
      <c r="H2094" s="1" t="s">
        <v>20</v>
      </c>
      <c r="I2094" s="1" t="s">
        <v>20</v>
      </c>
      <c r="J2094" s="1" t="str">
        <f t="shared" si="287"/>
        <v>Закрито</v>
      </c>
      <c r="K2094" s="5">
        <v>45616</v>
      </c>
      <c r="L2094" s="1" t="str">
        <f>"151.4"</f>
        <v>151.4</v>
      </c>
      <c r="M2094" s="1" t="s">
        <v>22</v>
      </c>
      <c r="N2094" s="5">
        <v>45616</v>
      </c>
    </row>
    <row r="2095" spans="1:14" x14ac:dyDescent="0.3">
      <c r="A2095" s="1" t="str">
        <f>"1_5925/2129-11/2024/З"</f>
        <v>1_5925/2129-11/2024/З</v>
      </c>
      <c r="B2095" s="6">
        <v>45616</v>
      </c>
      <c r="C2095" s="1" t="str">
        <f>"00038"</f>
        <v>00038</v>
      </c>
      <c r="D209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95" s="1" t="s">
        <v>20</v>
      </c>
      <c r="F2095" s="1" t="str">
        <f t="shared" ref="F2095:F2109" si="289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095" s="1" t="str">
        <f t="shared" si="288"/>
        <v>Фізична особа</v>
      </c>
      <c r="H2095" s="1" t="s">
        <v>20</v>
      </c>
      <c r="I2095" s="1" t="s">
        <v>20</v>
      </c>
      <c r="J2095" s="1" t="str">
        <f t="shared" si="287"/>
        <v>Закрито</v>
      </c>
      <c r="K2095" s="5">
        <v>45616</v>
      </c>
      <c r="L2095" s="1" t="s">
        <v>20</v>
      </c>
      <c r="M2095" s="1" t="s">
        <v>22</v>
      </c>
      <c r="N2095" s="5">
        <v>45616</v>
      </c>
    </row>
    <row r="2096" spans="1:14" x14ac:dyDescent="0.3">
      <c r="A2096" s="1" t="str">
        <f>"1_5926/2129-11/2024/З"</f>
        <v>1_5926/2129-11/2024/З</v>
      </c>
      <c r="B2096" s="6">
        <v>45616</v>
      </c>
      <c r="C2096" s="1" t="str">
        <f>"00038"</f>
        <v>00038</v>
      </c>
      <c r="D209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096" s="1" t="s">
        <v>20</v>
      </c>
      <c r="F2096" s="1" t="str">
        <f t="shared" si="289"/>
        <v>Центр надання адміністративних послуг Рогатинської міської ради</v>
      </c>
      <c r="G2096" s="1" t="str">
        <f t="shared" si="288"/>
        <v>Фізична особа</v>
      </c>
      <c r="H2096" s="1" t="s">
        <v>20</v>
      </c>
      <c r="I2096" s="1" t="s">
        <v>20</v>
      </c>
      <c r="J2096" s="1" t="str">
        <f t="shared" si="287"/>
        <v>Закрито</v>
      </c>
      <c r="K2096" s="5">
        <v>45616</v>
      </c>
      <c r="L2096" s="1" t="s">
        <v>20</v>
      </c>
      <c r="M2096" s="1" t="s">
        <v>22</v>
      </c>
      <c r="N2096" s="5">
        <v>45616</v>
      </c>
    </row>
    <row r="2097" spans="1:14" x14ac:dyDescent="0.3">
      <c r="A2097" s="1" t="str">
        <f>"2_2019/2129-11/2024/В"</f>
        <v>2_2019/2129-11/2024/В</v>
      </c>
      <c r="B2097" s="6">
        <v>45616</v>
      </c>
      <c r="C2097" s="1" t="str">
        <f>"00042"</f>
        <v>00042</v>
      </c>
      <c r="D2097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097" s="1" t="s">
        <v>20</v>
      </c>
      <c r="F2097" s="1" t="str">
        <f t="shared" si="289"/>
        <v>Центр надання адміністративних послуг Рогатинської міської ради</v>
      </c>
      <c r="G2097" s="1" t="str">
        <f t="shared" si="288"/>
        <v>Фізична особа</v>
      </c>
      <c r="H2097" s="1" t="s">
        <v>20</v>
      </c>
      <c r="I2097" s="1" t="s">
        <v>20</v>
      </c>
      <c r="J2097" s="1" t="str">
        <f t="shared" si="287"/>
        <v>Закрито</v>
      </c>
      <c r="K2097" s="5">
        <v>45616</v>
      </c>
      <c r="L2097" s="1" t="s">
        <v>20</v>
      </c>
      <c r="M2097" s="1" t="s">
        <v>22</v>
      </c>
      <c r="N2097" s="5">
        <v>45616</v>
      </c>
    </row>
    <row r="2098" spans="1:14" x14ac:dyDescent="0.3">
      <c r="A2098" s="1" t="str">
        <f>"2_2020/2129-11/2024/П"</f>
        <v>2_2020/2129-11/2024/П</v>
      </c>
      <c r="B2098" s="6">
        <v>45616</v>
      </c>
      <c r="C2098" s="1" t="str">
        <f>"00042"</f>
        <v>00042</v>
      </c>
      <c r="D2098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098" s="1" t="s">
        <v>20</v>
      </c>
      <c r="F2098" s="1" t="str">
        <f t="shared" si="289"/>
        <v>Центр надання адміністративних послуг Рогатинської міської ради</v>
      </c>
      <c r="G2098" s="1" t="str">
        <f t="shared" si="288"/>
        <v>Фізична особа</v>
      </c>
      <c r="H2098" s="1" t="s">
        <v>20</v>
      </c>
      <c r="I2098" s="1" t="s">
        <v>20</v>
      </c>
      <c r="J2098" s="1" t="str">
        <f t="shared" si="287"/>
        <v>Закрито</v>
      </c>
      <c r="K2098" s="5">
        <v>45616</v>
      </c>
      <c r="L2098" s="1" t="s">
        <v>20</v>
      </c>
      <c r="M2098" s="1" t="s">
        <v>22</v>
      </c>
      <c r="N2098" s="5">
        <v>45616</v>
      </c>
    </row>
    <row r="2099" spans="1:14" x14ac:dyDescent="0.3">
      <c r="A2099" s="1" t="str">
        <f>"2_2021/2129-11/2024/П"</f>
        <v>2_2021/2129-11/2024/П</v>
      </c>
      <c r="B2099" s="6">
        <v>45616</v>
      </c>
      <c r="C2099" s="1" t="str">
        <f>"00047"</f>
        <v>00047</v>
      </c>
      <c r="D2099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2099" s="1" t="s">
        <v>20</v>
      </c>
      <c r="F2099" s="1" t="str">
        <f t="shared" si="289"/>
        <v>Центр надання адміністративних послуг Рогатинської міської ради</v>
      </c>
      <c r="G2099" s="1" t="str">
        <f t="shared" si="288"/>
        <v>Фізична особа</v>
      </c>
      <c r="H2099" s="1" t="s">
        <v>20</v>
      </c>
      <c r="I2099" s="1" t="s">
        <v>20</v>
      </c>
      <c r="J2099" s="1" t="str">
        <f t="shared" si="287"/>
        <v>Закрито</v>
      </c>
      <c r="K2099" s="5">
        <v>45616</v>
      </c>
      <c r="L2099" s="1" t="s">
        <v>20</v>
      </c>
      <c r="M2099" s="1" t="s">
        <v>22</v>
      </c>
      <c r="N2099" s="5">
        <v>45616</v>
      </c>
    </row>
    <row r="2100" spans="1:14" x14ac:dyDescent="0.3">
      <c r="A2100" s="1" t="str">
        <f>"2_2022/2129-11/2024/П"</f>
        <v>2_2022/2129-11/2024/П</v>
      </c>
      <c r="B2100" s="6">
        <v>45616</v>
      </c>
      <c r="C2100" s="1" t="str">
        <f>"00047"</f>
        <v>00047</v>
      </c>
      <c r="D2100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2100" s="1" t="s">
        <v>20</v>
      </c>
      <c r="F2100" s="1" t="str">
        <f t="shared" si="289"/>
        <v>Центр надання адміністративних послуг Рогатинської міської ради</v>
      </c>
      <c r="G2100" s="1" t="str">
        <f t="shared" si="288"/>
        <v>Фізична особа</v>
      </c>
      <c r="H2100" s="1" t="s">
        <v>20</v>
      </c>
      <c r="I2100" s="1" t="s">
        <v>20</v>
      </c>
      <c r="J2100" s="1" t="str">
        <f t="shared" si="287"/>
        <v>Закрито</v>
      </c>
      <c r="K2100" s="5">
        <v>45616</v>
      </c>
      <c r="L2100" s="1" t="s">
        <v>20</v>
      </c>
      <c r="M2100" s="1" t="s">
        <v>22</v>
      </c>
      <c r="N2100" s="5">
        <v>45616</v>
      </c>
    </row>
    <row r="2101" spans="1:14" x14ac:dyDescent="0.3">
      <c r="A2101" s="1" t="str">
        <f>"2_2023/2129-11/2024/В"</f>
        <v>2_2023/2129-11/2024/В</v>
      </c>
      <c r="B2101" s="6">
        <v>45616</v>
      </c>
      <c r="C2101" s="1" t="str">
        <f>"00042"</f>
        <v>00042</v>
      </c>
      <c r="D2101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101" s="1" t="s">
        <v>20</v>
      </c>
      <c r="F2101" s="1" t="str">
        <f t="shared" si="289"/>
        <v>Центр надання адміністративних послуг Рогатинської міської ради</v>
      </c>
      <c r="G2101" s="1" t="str">
        <f t="shared" si="288"/>
        <v>Фізична особа</v>
      </c>
      <c r="H2101" s="1" t="s">
        <v>20</v>
      </c>
      <c r="I2101" s="1" t="s">
        <v>20</v>
      </c>
      <c r="J2101" s="1" t="str">
        <f t="shared" si="287"/>
        <v>Закрито</v>
      </c>
      <c r="K2101" s="5">
        <v>45616</v>
      </c>
      <c r="L2101" s="1" t="s">
        <v>20</v>
      </c>
      <c r="M2101" s="1" t="s">
        <v>22</v>
      </c>
      <c r="N2101" s="5">
        <v>45616</v>
      </c>
    </row>
    <row r="2102" spans="1:14" x14ac:dyDescent="0.3">
      <c r="A2102" s="1" t="str">
        <f>"2_2024/2129-11/2024/В"</f>
        <v>2_2024/2129-11/2024/В</v>
      </c>
      <c r="B2102" s="6">
        <v>45616</v>
      </c>
      <c r="C2102" s="1" t="str">
        <f>"00042"</f>
        <v>00042</v>
      </c>
      <c r="D2102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102" s="1" t="s">
        <v>20</v>
      </c>
      <c r="F2102" s="1" t="str">
        <f t="shared" si="289"/>
        <v>Центр надання адміністративних послуг Рогатинської міської ради</v>
      </c>
      <c r="G2102" s="1" t="str">
        <f t="shared" si="288"/>
        <v>Фізична особа</v>
      </c>
      <c r="H2102" s="1" t="s">
        <v>20</v>
      </c>
      <c r="I2102" s="1" t="s">
        <v>20</v>
      </c>
      <c r="J2102" s="1" t="str">
        <f t="shared" si="287"/>
        <v>Закрито</v>
      </c>
      <c r="K2102" s="5">
        <v>45616</v>
      </c>
      <c r="L2102" s="1" t="s">
        <v>20</v>
      </c>
      <c r="M2102" s="1" t="s">
        <v>22</v>
      </c>
      <c r="N2102" s="5">
        <v>45616</v>
      </c>
    </row>
    <row r="2103" spans="1:14" x14ac:dyDescent="0.3">
      <c r="A2103" s="1" t="str">
        <f>"2_2025/2129-11/2024/Р"</f>
        <v>2_2025/2129-11/2024/Р</v>
      </c>
      <c r="B2103" s="6">
        <v>45616</v>
      </c>
      <c r="C2103" s="1" t="str">
        <f>"00047"</f>
        <v>00047</v>
      </c>
      <c r="D2103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2103" s="1" t="s">
        <v>20</v>
      </c>
      <c r="F2103" s="1" t="str">
        <f t="shared" si="289"/>
        <v>Центр надання адміністративних послуг Рогатинської міської ради</v>
      </c>
      <c r="G2103" s="1" t="str">
        <f t="shared" si="288"/>
        <v>Фізична особа</v>
      </c>
      <c r="H2103" s="1" t="s">
        <v>20</v>
      </c>
      <c r="I2103" s="1" t="s">
        <v>20</v>
      </c>
      <c r="J2103" s="1" t="str">
        <f t="shared" si="287"/>
        <v>Закрито</v>
      </c>
      <c r="K2103" s="5">
        <v>45616</v>
      </c>
      <c r="L2103" s="1" t="s">
        <v>20</v>
      </c>
      <c r="M2103" s="1" t="s">
        <v>22</v>
      </c>
      <c r="N2103" s="5">
        <v>45616</v>
      </c>
    </row>
    <row r="2104" spans="1:14" x14ac:dyDescent="0.3">
      <c r="A2104" s="1" t="str">
        <f>"5_489-11/2024/Х"</f>
        <v>5_489-11/2024/Х</v>
      </c>
      <c r="B2104" s="6">
        <v>45616</v>
      </c>
      <c r="C2104" s="1" t="str">
        <f>"00038"</f>
        <v>00038</v>
      </c>
      <c r="D210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04" s="1" t="s">
        <v>20</v>
      </c>
      <c r="F2104" s="1" t="str">
        <f t="shared" si="289"/>
        <v>Центр надання адміністративних послуг Рогатинської міської ради</v>
      </c>
      <c r="G2104" s="1" t="str">
        <f t="shared" si="288"/>
        <v>Фізична особа</v>
      </c>
      <c r="H2104" s="1" t="s">
        <v>20</v>
      </c>
      <c r="I2104" s="1" t="s">
        <v>20</v>
      </c>
      <c r="J2104" s="1" t="str">
        <f t="shared" si="287"/>
        <v>Закрито</v>
      </c>
      <c r="K2104" s="5">
        <v>45616</v>
      </c>
      <c r="L2104" s="1" t="s">
        <v>20</v>
      </c>
      <c r="M2104" s="1" t="s">
        <v>22</v>
      </c>
      <c r="N2104" s="5">
        <v>45616</v>
      </c>
    </row>
    <row r="2105" spans="1:14" x14ac:dyDescent="0.3">
      <c r="A2105" s="1" t="str">
        <f>"8_79/2129-11/2024/Ш"</f>
        <v>8_79/2129-11/2024/Ш</v>
      </c>
      <c r="B2105" s="6">
        <v>45616</v>
      </c>
      <c r="C2105" s="1" t="str">
        <f>"00033"</f>
        <v>00033</v>
      </c>
      <c r="D2105" s="2" t="str">
        <f>"Державна реєстрація смерті"</f>
        <v>Державна реєстрація смерті</v>
      </c>
      <c r="E2105" s="1" t="s">
        <v>20</v>
      </c>
      <c r="F2105" s="1" t="str">
        <f t="shared" si="289"/>
        <v>Центр надання адміністративних послуг Рогатинської міської ради</v>
      </c>
      <c r="G2105" s="1" t="str">
        <f t="shared" si="288"/>
        <v>Фізична особа</v>
      </c>
      <c r="H2105" s="1" t="s">
        <v>20</v>
      </c>
      <c r="I2105" s="1" t="s">
        <v>20</v>
      </c>
      <c r="J2105" s="1" t="str">
        <f t="shared" si="287"/>
        <v>Закрито</v>
      </c>
      <c r="K2105" s="5">
        <v>45616</v>
      </c>
      <c r="L2105" s="1" t="s">
        <v>20</v>
      </c>
      <c r="M2105" s="1" t="s">
        <v>22</v>
      </c>
      <c r="N2105" s="5">
        <v>45616</v>
      </c>
    </row>
    <row r="2106" spans="1:14" x14ac:dyDescent="0.3">
      <c r="A2106" s="1" t="str">
        <f>"1_5927/2129-11/2024/Ш"</f>
        <v>1_5927/2129-11/2024/Ш</v>
      </c>
      <c r="B2106" s="6">
        <v>45616</v>
      </c>
      <c r="C2106" s="1" t="str">
        <f>"00037"</f>
        <v>00037</v>
      </c>
      <c r="D2106" s="2" t="str">
        <f>"Зняття з реєстрації місця проживання"</f>
        <v>Зняття з реєстрації місця проживання</v>
      </c>
      <c r="E2106" s="1" t="s">
        <v>20</v>
      </c>
      <c r="F2106" s="1" t="str">
        <f t="shared" si="289"/>
        <v>Центр надання адміністративних послуг Рогатинської міської ради</v>
      </c>
      <c r="G2106" s="1" t="str">
        <f t="shared" si="288"/>
        <v>Фізична особа</v>
      </c>
      <c r="H2106" s="1" t="s">
        <v>20</v>
      </c>
      <c r="I2106" s="1" t="s">
        <v>20</v>
      </c>
      <c r="J2106" s="1" t="str">
        <f t="shared" si="287"/>
        <v>Закрито</v>
      </c>
      <c r="K2106" s="5">
        <v>45616</v>
      </c>
      <c r="L2106" s="1" t="s">
        <v>20</v>
      </c>
      <c r="M2106" s="1" t="s">
        <v>22</v>
      </c>
      <c r="N2106" s="5">
        <v>45616</v>
      </c>
    </row>
    <row r="2107" spans="1:14" x14ac:dyDescent="0.3">
      <c r="A2107" s="1" t="str">
        <f>"5_490-11/2024/Л"</f>
        <v>5_490-11/2024/Л</v>
      </c>
      <c r="B2107" s="6">
        <v>45616</v>
      </c>
      <c r="C2107" s="1" t="str">
        <f>"00038"</f>
        <v>00038</v>
      </c>
      <c r="D210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07" s="1" t="s">
        <v>20</v>
      </c>
      <c r="F2107" s="1" t="str">
        <f t="shared" si="289"/>
        <v>Центр надання адміністративних послуг Рогатинської міської ради</v>
      </c>
      <c r="G2107" s="1" t="str">
        <f t="shared" si="288"/>
        <v>Фізична особа</v>
      </c>
      <c r="H2107" s="1" t="s">
        <v>20</v>
      </c>
      <c r="I2107" s="1" t="s">
        <v>20</v>
      </c>
      <c r="J2107" s="1" t="str">
        <f t="shared" si="287"/>
        <v>Закрито</v>
      </c>
      <c r="K2107" s="5">
        <v>45616</v>
      </c>
      <c r="L2107" s="1" t="s">
        <v>20</v>
      </c>
      <c r="M2107" s="1" t="s">
        <v>22</v>
      </c>
      <c r="N2107" s="5">
        <v>45616</v>
      </c>
    </row>
    <row r="2108" spans="1:14" x14ac:dyDescent="0.3">
      <c r="A2108" s="1" t="str">
        <f>"5_491-11/2024/Л"</f>
        <v>5_491-11/2024/Л</v>
      </c>
      <c r="B2108" s="6">
        <v>45616</v>
      </c>
      <c r="C2108" s="1" t="str">
        <f>"00038"</f>
        <v>00038</v>
      </c>
      <c r="D210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08" s="1" t="s">
        <v>20</v>
      </c>
      <c r="F2108" s="1" t="str">
        <f t="shared" si="289"/>
        <v>Центр надання адміністративних послуг Рогатинської міської ради</v>
      </c>
      <c r="G2108" s="1" t="str">
        <f t="shared" si="288"/>
        <v>Фізична особа</v>
      </c>
      <c r="H2108" s="1" t="s">
        <v>20</v>
      </c>
      <c r="I2108" s="1" t="s">
        <v>20</v>
      </c>
      <c r="J2108" s="1" t="str">
        <f t="shared" si="287"/>
        <v>Закрито</v>
      </c>
      <c r="K2108" s="5">
        <v>45616</v>
      </c>
      <c r="L2108" s="1" t="s">
        <v>20</v>
      </c>
      <c r="M2108" s="1" t="s">
        <v>22</v>
      </c>
      <c r="N2108" s="5">
        <v>45616</v>
      </c>
    </row>
    <row r="2109" spans="1:14" x14ac:dyDescent="0.3">
      <c r="A2109" s="1" t="str">
        <f>"20_182-11/2024/Л"</f>
        <v>20_182-11/2024/Л</v>
      </c>
      <c r="B2109" s="6">
        <v>45616</v>
      </c>
      <c r="C2109" s="1" t="str">
        <f>"00038"</f>
        <v>00038</v>
      </c>
      <c r="D210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09" s="1" t="s">
        <v>20</v>
      </c>
      <c r="F2109" s="1" t="str">
        <f t="shared" si="289"/>
        <v>Центр надання адміністративних послуг Рогатинської міської ради</v>
      </c>
      <c r="G2109" s="1" t="str">
        <f t="shared" si="288"/>
        <v>Фізична особа</v>
      </c>
      <c r="H2109" s="1" t="s">
        <v>20</v>
      </c>
      <c r="I2109" s="1" t="s">
        <v>20</v>
      </c>
      <c r="J2109" s="1" t="str">
        <f t="shared" si="287"/>
        <v>Закрито</v>
      </c>
      <c r="K2109" s="5">
        <v>45616</v>
      </c>
      <c r="L2109" s="1" t="s">
        <v>20</v>
      </c>
      <c r="M2109" s="1" t="s">
        <v>22</v>
      </c>
      <c r="N2109" s="5">
        <v>45616</v>
      </c>
    </row>
    <row r="2110" spans="1:14" x14ac:dyDescent="0.3">
      <c r="A2110" s="1" t="str">
        <f>"5_492-11/2024/Х"</f>
        <v>5_492-11/2024/Х</v>
      </c>
      <c r="B2110" s="6">
        <v>45616</v>
      </c>
      <c r="C2110" s="1" t="str">
        <f>"00155"</f>
        <v>00155</v>
      </c>
      <c r="D2110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110" s="1" t="str">
        <f>"03193413"</f>
        <v>03193413</v>
      </c>
      <c r="F211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110" s="1" t="str">
        <f t="shared" si="288"/>
        <v>Фізична особа</v>
      </c>
      <c r="H2110" s="1" t="s">
        <v>20</v>
      </c>
      <c r="I2110" s="1" t="s">
        <v>20</v>
      </c>
      <c r="J2110" s="1" t="str">
        <f t="shared" si="287"/>
        <v>Закрито</v>
      </c>
      <c r="K2110" s="5">
        <v>45625</v>
      </c>
      <c r="L2110" s="1" t="s">
        <v>20</v>
      </c>
      <c r="M2110" s="1" t="s">
        <v>22</v>
      </c>
      <c r="N2110" s="5">
        <v>45625</v>
      </c>
    </row>
    <row r="2111" spans="1:14" x14ac:dyDescent="0.3">
      <c r="A2111" s="1" t="str">
        <f>"3_869-11/2024/Б"</f>
        <v>3_869-11/2024/Б</v>
      </c>
      <c r="B2111" s="6">
        <v>45616</v>
      </c>
      <c r="C2111" s="1" t="str">
        <f>"33"</f>
        <v>33</v>
      </c>
      <c r="D2111" s="2" t="str">
        <f>"33 Довідки різного характеру"</f>
        <v>33 Довідки різного характеру</v>
      </c>
      <c r="E2111" s="1" t="s">
        <v>20</v>
      </c>
      <c r="F2111" s="1" t="str">
        <f t="shared" ref="F2111:F2116" si="290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11" s="1" t="str">
        <f t="shared" si="288"/>
        <v>Фізична особа</v>
      </c>
      <c r="H2111" s="1" t="s">
        <v>20</v>
      </c>
      <c r="I2111" s="1" t="s">
        <v>20</v>
      </c>
      <c r="J2111" s="1" t="str">
        <f t="shared" si="287"/>
        <v>Закрито</v>
      </c>
      <c r="K2111" s="5">
        <v>45616</v>
      </c>
      <c r="L2111" s="1" t="s">
        <v>20</v>
      </c>
      <c r="M2111" s="1" t="s">
        <v>22</v>
      </c>
      <c r="N2111" s="5">
        <v>45616</v>
      </c>
    </row>
    <row r="2112" spans="1:14" x14ac:dyDescent="0.3">
      <c r="A2112" s="1" t="str">
        <f>"1_5928/2129-11/2024/К"</f>
        <v>1_5928/2129-11/2024/К</v>
      </c>
      <c r="B2112" s="6">
        <v>45616</v>
      </c>
      <c r="C2112" s="1" t="str">
        <f>"00038"</f>
        <v>00038</v>
      </c>
      <c r="D211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12" s="1" t="s">
        <v>20</v>
      </c>
      <c r="F2112" s="1" t="str">
        <f t="shared" si="290"/>
        <v>Центр надання адміністративних послуг Рогатинської міської ради</v>
      </c>
      <c r="G2112" s="1" t="str">
        <f t="shared" si="288"/>
        <v>Фізична особа</v>
      </c>
      <c r="H2112" s="1" t="s">
        <v>20</v>
      </c>
      <c r="I2112" s="1" t="s">
        <v>20</v>
      </c>
      <c r="J2112" s="1" t="str">
        <f t="shared" si="287"/>
        <v>Закрито</v>
      </c>
      <c r="K2112" s="5">
        <v>45616</v>
      </c>
      <c r="L2112" s="1" t="s">
        <v>20</v>
      </c>
      <c r="M2112" s="1" t="s">
        <v>22</v>
      </c>
      <c r="N2112" s="5">
        <v>45616</v>
      </c>
    </row>
    <row r="2113" spans="1:14" x14ac:dyDescent="0.3">
      <c r="A2113" s="1" t="str">
        <f>"1_5929/2129-11/2024/В"</f>
        <v>1_5929/2129-11/2024/В</v>
      </c>
      <c r="B2113" s="6">
        <v>45616</v>
      </c>
      <c r="C2113" s="1" t="str">
        <f>"00038"</f>
        <v>00038</v>
      </c>
      <c r="D211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13" s="1" t="s">
        <v>20</v>
      </c>
      <c r="F2113" s="1" t="str">
        <f t="shared" si="290"/>
        <v>Центр надання адміністративних послуг Рогатинської міської ради</v>
      </c>
      <c r="G2113" s="1" t="str">
        <f t="shared" si="288"/>
        <v>Фізична особа</v>
      </c>
      <c r="H2113" s="1" t="s">
        <v>20</v>
      </c>
      <c r="I2113" s="1" t="s">
        <v>20</v>
      </c>
      <c r="J2113" s="1" t="str">
        <f t="shared" si="287"/>
        <v>Закрито</v>
      </c>
      <c r="K2113" s="5">
        <v>45616</v>
      </c>
      <c r="L2113" s="1" t="s">
        <v>20</v>
      </c>
      <c r="M2113" s="1" t="s">
        <v>22</v>
      </c>
      <c r="N2113" s="5">
        <v>45616</v>
      </c>
    </row>
    <row r="2114" spans="1:14" x14ac:dyDescent="0.3">
      <c r="A2114" s="1" t="str">
        <f>"20_183-11/2024/Л"</f>
        <v>20_183-11/2024/Л</v>
      </c>
      <c r="B2114" s="6">
        <v>45616</v>
      </c>
      <c r="C2114" s="1" t="str">
        <f>"00038"</f>
        <v>00038</v>
      </c>
      <c r="D211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14" s="1" t="s">
        <v>20</v>
      </c>
      <c r="F2114" s="1" t="str">
        <f t="shared" si="290"/>
        <v>Центр надання адміністративних послуг Рогатинської міської ради</v>
      </c>
      <c r="G2114" s="1" t="str">
        <f t="shared" si="288"/>
        <v>Фізична особа</v>
      </c>
      <c r="H2114" s="1" t="s">
        <v>20</v>
      </c>
      <c r="I2114" s="1" t="s">
        <v>20</v>
      </c>
      <c r="J2114" s="1" t="str">
        <f t="shared" si="287"/>
        <v>Закрито</v>
      </c>
      <c r="K2114" s="5">
        <v>45636</v>
      </c>
      <c r="L2114" s="1" t="s">
        <v>20</v>
      </c>
      <c r="M2114" s="1" t="s">
        <v>22</v>
      </c>
      <c r="N2114" s="5">
        <v>45636</v>
      </c>
    </row>
    <row r="2115" spans="1:14" x14ac:dyDescent="0.3">
      <c r="A2115" s="1" t="str">
        <f>"20_184-11/2024/Л"</f>
        <v>20_184-11/2024/Л</v>
      </c>
      <c r="B2115" s="6">
        <v>45616</v>
      </c>
      <c r="C2115" s="1" t="str">
        <f>"00038"</f>
        <v>00038</v>
      </c>
      <c r="D211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15" s="1" t="s">
        <v>20</v>
      </c>
      <c r="F2115" s="1" t="str">
        <f t="shared" si="290"/>
        <v>Центр надання адміністративних послуг Рогатинської міської ради</v>
      </c>
      <c r="G2115" s="1" t="str">
        <f t="shared" si="288"/>
        <v>Фізична особа</v>
      </c>
      <c r="H2115" s="1" t="s">
        <v>20</v>
      </c>
      <c r="I2115" s="1" t="s">
        <v>20</v>
      </c>
      <c r="J2115" s="1" t="str">
        <f t="shared" si="287"/>
        <v>Закрито</v>
      </c>
      <c r="K2115" s="5">
        <v>45616</v>
      </c>
      <c r="L2115" s="1" t="s">
        <v>20</v>
      </c>
      <c r="M2115" s="1" t="s">
        <v>22</v>
      </c>
      <c r="N2115" s="5">
        <v>45616</v>
      </c>
    </row>
    <row r="2116" spans="1:14" x14ac:dyDescent="0.3">
      <c r="A2116" s="1" t="str">
        <f>"28_656-11/2024/В"</f>
        <v>28_656-11/2024/В</v>
      </c>
      <c r="B2116" s="6">
        <v>45616</v>
      </c>
      <c r="C2116" s="1" t="str">
        <f>"33"</f>
        <v>33</v>
      </c>
      <c r="D2116" s="2" t="str">
        <f>"33 Довідки різного характеру"</f>
        <v>33 Довідки різного характеру</v>
      </c>
      <c r="E2116" s="1" t="s">
        <v>20</v>
      </c>
      <c r="F2116" s="1" t="str">
        <f t="shared" si="290"/>
        <v>Центр надання адміністративних послуг Рогатинської міської ради</v>
      </c>
      <c r="G2116" s="1" t="str">
        <f t="shared" si="288"/>
        <v>Фізична особа</v>
      </c>
      <c r="H2116" s="1" t="s">
        <v>20</v>
      </c>
      <c r="I2116" s="1" t="s">
        <v>20</v>
      </c>
      <c r="J2116" s="1" t="str">
        <f t="shared" si="287"/>
        <v>Закрито</v>
      </c>
      <c r="K2116" s="5">
        <v>45616</v>
      </c>
      <c r="L2116" s="1" t="s">
        <v>20</v>
      </c>
      <c r="M2116" s="1" t="s">
        <v>22</v>
      </c>
      <c r="N2116" s="5">
        <v>45616</v>
      </c>
    </row>
    <row r="2117" spans="1:14" x14ac:dyDescent="0.3">
      <c r="A2117" s="1" t="str">
        <f>"8_550-11/2024/В"</f>
        <v>8_550-11/2024/В</v>
      </c>
      <c r="B2117" s="6">
        <v>45616</v>
      </c>
      <c r="C2117" s="1" t="str">
        <f>"00155"</f>
        <v>00155</v>
      </c>
      <c r="D2117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117" s="1" t="str">
        <f>"03193413"</f>
        <v>03193413</v>
      </c>
      <c r="F211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117" s="1" t="str">
        <f t="shared" si="288"/>
        <v>Фізична особа</v>
      </c>
      <c r="H2117" s="1" t="s">
        <v>20</v>
      </c>
      <c r="I2117" s="1" t="s">
        <v>20</v>
      </c>
      <c r="J2117" s="1" t="str">
        <f t="shared" si="287"/>
        <v>Закрито</v>
      </c>
      <c r="K2117" s="5">
        <v>45629</v>
      </c>
      <c r="L2117" s="1" t="s">
        <v>20</v>
      </c>
      <c r="M2117" s="1" t="s">
        <v>22</v>
      </c>
      <c r="N2117" s="5">
        <v>45629</v>
      </c>
    </row>
    <row r="2118" spans="1:14" x14ac:dyDescent="0.3">
      <c r="A2118" s="1" t="str">
        <f>"8_551-11/2024/В"</f>
        <v>8_551-11/2024/В</v>
      </c>
      <c r="B2118" s="6">
        <v>45616</v>
      </c>
      <c r="C2118" s="1" t="str">
        <f>"00038"</f>
        <v>00038</v>
      </c>
      <c r="D211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18" s="1" t="s">
        <v>20</v>
      </c>
      <c r="F21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18" s="1" t="str">
        <f t="shared" si="288"/>
        <v>Фізична особа</v>
      </c>
      <c r="H2118" s="1" t="s">
        <v>20</v>
      </c>
      <c r="I2118" s="1" t="s">
        <v>20</v>
      </c>
      <c r="J2118" s="1" t="str">
        <f t="shared" si="287"/>
        <v>Закрито</v>
      </c>
      <c r="K2118" s="5">
        <v>45616</v>
      </c>
      <c r="L2118" s="1" t="s">
        <v>20</v>
      </c>
      <c r="M2118" s="1" t="s">
        <v>22</v>
      </c>
      <c r="N2118" s="5">
        <v>45616</v>
      </c>
    </row>
    <row r="2119" spans="1:14" x14ac:dyDescent="0.3">
      <c r="A2119" s="1" t="str">
        <f>"2_2026/04054323-11/2024/К"</f>
        <v>2_2026/04054323-11/2024/К</v>
      </c>
      <c r="B2119" s="6">
        <v>45616</v>
      </c>
      <c r="C2119" s="1" t="str">
        <f>"00153"</f>
        <v>00153</v>
      </c>
      <c r="D2119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2119" s="1" t="str">
        <f>"04054323"</f>
        <v>04054323</v>
      </c>
      <c r="F2119" s="1" t="str">
        <f>"Рогатинська міська рада"</f>
        <v>Рогатинська міська рада</v>
      </c>
      <c r="G2119" s="1" t="str">
        <f t="shared" si="288"/>
        <v>Фізична особа</v>
      </c>
      <c r="H2119" s="1" t="s">
        <v>20</v>
      </c>
      <c r="I2119" s="1" t="s">
        <v>20</v>
      </c>
      <c r="J2119" s="1" t="str">
        <f t="shared" si="287"/>
        <v>Закрито</v>
      </c>
      <c r="K2119" s="5">
        <v>45642</v>
      </c>
      <c r="L2119" s="1" t="s">
        <v>20</v>
      </c>
      <c r="M2119" s="1" t="s">
        <v>22</v>
      </c>
      <c r="N2119" s="5">
        <v>45642</v>
      </c>
    </row>
    <row r="2120" spans="1:14" x14ac:dyDescent="0.3">
      <c r="A2120" s="1" t="str">
        <f>"9_1680/04054323-11/2024/Ю"</f>
        <v>9_1680/04054323-11/2024/Ю</v>
      </c>
      <c r="B2120" s="6">
        <v>45616</v>
      </c>
      <c r="C2120" s="1" t="str">
        <f>"011"</f>
        <v>011</v>
      </c>
      <c r="D2120" s="2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2120" s="1" t="str">
        <f>"04054323"</f>
        <v>04054323</v>
      </c>
      <c r="F2120" s="1" t="str">
        <f>"Рогатинська міська рада"</f>
        <v>Рогатинська міська рада</v>
      </c>
      <c r="G2120" s="1" t="str">
        <f t="shared" si="288"/>
        <v>Фізична особа</v>
      </c>
      <c r="H2120" s="1" t="s">
        <v>20</v>
      </c>
      <c r="I2120" s="1" t="s">
        <v>20</v>
      </c>
      <c r="J2120" s="1" t="str">
        <f>"На обробці в СНАП"</f>
        <v>На обробці в СНАП</v>
      </c>
      <c r="K2120" s="1" t="s">
        <v>20</v>
      </c>
      <c r="L2120" s="1" t="s">
        <v>20</v>
      </c>
      <c r="M2120" s="1" t="s">
        <v>22</v>
      </c>
      <c r="N2120" s="1" t="s">
        <v>20</v>
      </c>
    </row>
    <row r="2121" spans="1:14" x14ac:dyDescent="0.3">
      <c r="A2121" s="1" t="str">
        <f>"9_1681/04054323-11/2024/Н"</f>
        <v>9_1681/04054323-11/2024/Н</v>
      </c>
      <c r="B2121" s="6">
        <v>45616</v>
      </c>
      <c r="C2121" s="1" t="str">
        <f>"011"</f>
        <v>011</v>
      </c>
      <c r="D2121" s="2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2121" s="1" t="str">
        <f>"04054323"</f>
        <v>04054323</v>
      </c>
      <c r="F2121" s="1" t="str">
        <f>"Рогатинська міська рада"</f>
        <v>Рогатинська міська рада</v>
      </c>
      <c r="G2121" s="1" t="str">
        <f t="shared" si="288"/>
        <v>Фізична особа</v>
      </c>
      <c r="H2121" s="1" t="s">
        <v>20</v>
      </c>
      <c r="I2121" s="1" t="s">
        <v>20</v>
      </c>
      <c r="J2121" s="1" t="str">
        <f>"На обробці в СНАП"</f>
        <v>На обробці в СНАП</v>
      </c>
      <c r="K2121" s="1" t="s">
        <v>20</v>
      </c>
      <c r="L2121" s="1" t="s">
        <v>20</v>
      </c>
      <c r="M2121" s="1" t="s">
        <v>22</v>
      </c>
      <c r="N2121" s="1" t="s">
        <v>20</v>
      </c>
    </row>
    <row r="2122" spans="1:14" x14ac:dyDescent="0.3">
      <c r="A2122" s="1" t="str">
        <f>"28_657-11/2024/Ц"</f>
        <v>28_657-11/2024/Ц</v>
      </c>
      <c r="B2122" s="6">
        <v>45616</v>
      </c>
      <c r="C2122" s="1" t="str">
        <f>"00037"</f>
        <v>00037</v>
      </c>
      <c r="D2122" s="2" t="str">
        <f>"Зняття з реєстрації місця проживання"</f>
        <v>Зняття з реєстрації місця проживання</v>
      </c>
      <c r="E2122" s="1" t="s">
        <v>20</v>
      </c>
      <c r="F212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22" s="1" t="str">
        <f t="shared" si="288"/>
        <v>Фізична особа</v>
      </c>
      <c r="H2122" s="1" t="s">
        <v>20</v>
      </c>
      <c r="I2122" s="1" t="s">
        <v>20</v>
      </c>
      <c r="J2122" s="1" t="str">
        <f>"Закрито"</f>
        <v>Закрито</v>
      </c>
      <c r="K2122" s="5">
        <v>45616</v>
      </c>
      <c r="L2122" s="1" t="s">
        <v>20</v>
      </c>
      <c r="M2122" s="1" t="s">
        <v>22</v>
      </c>
      <c r="N2122" s="5">
        <v>45616</v>
      </c>
    </row>
    <row r="2123" spans="1:14" x14ac:dyDescent="0.3">
      <c r="A2123" s="1" t="str">
        <f>"5_493-11/2024/З"</f>
        <v>5_493-11/2024/З</v>
      </c>
      <c r="B2123" s="6">
        <v>45616</v>
      </c>
      <c r="C2123" s="1" t="str">
        <f>"00038"</f>
        <v>00038</v>
      </c>
      <c r="D212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23" s="1" t="s">
        <v>20</v>
      </c>
      <c r="F21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23" s="1" t="str">
        <f t="shared" si="288"/>
        <v>Фізична особа</v>
      </c>
      <c r="H2123" s="1" t="s">
        <v>20</v>
      </c>
      <c r="I2123" s="1" t="s">
        <v>20</v>
      </c>
      <c r="J2123" s="1" t="str">
        <f>"Закрито"</f>
        <v>Закрито</v>
      </c>
      <c r="K2123" s="5">
        <v>45616</v>
      </c>
      <c r="L2123" s="1" t="s">
        <v>20</v>
      </c>
      <c r="M2123" s="1" t="s">
        <v>22</v>
      </c>
      <c r="N2123" s="5">
        <v>45616</v>
      </c>
    </row>
    <row r="2124" spans="1:14" x14ac:dyDescent="0.3">
      <c r="A2124" s="1" t="str">
        <f>"1_5930/2129-11/2024/Ж"</f>
        <v>1_5930/2129-11/2024/Ж</v>
      </c>
      <c r="B2124" s="6">
        <v>45616</v>
      </c>
      <c r="C2124" s="1" t="str">
        <f>"01376"</f>
        <v>01376</v>
      </c>
      <c r="D2124" s="2" t="str">
        <f>"Реєстрація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(СС1)"</f>
        <v>Реєстрація декларації про готовність об'єкта до експлуатації, щодо об’єктів, що за класом наслідків (відповідальності) належать до об’єктів з незначними наслідками (СС1)</v>
      </c>
      <c r="E2124" s="1" t="s">
        <v>20</v>
      </c>
      <c r="F21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24" s="1" t="str">
        <f t="shared" si="288"/>
        <v>Фізична особа</v>
      </c>
      <c r="H2124" s="1" t="s">
        <v>20</v>
      </c>
      <c r="I2124" s="1" t="s">
        <v>20</v>
      </c>
      <c r="J2124" s="1" t="str">
        <f>"Закрито"</f>
        <v>Закрито</v>
      </c>
      <c r="K2124" s="5">
        <v>45616</v>
      </c>
      <c r="L2124" s="1" t="s">
        <v>20</v>
      </c>
      <c r="M2124" s="1" t="s">
        <v>22</v>
      </c>
      <c r="N2124" s="5">
        <v>45616</v>
      </c>
    </row>
    <row r="2125" spans="1:14" x14ac:dyDescent="0.3">
      <c r="A2125" s="1" t="str">
        <f>"9_1682/04054323-11/2024/М"</f>
        <v>9_1682/04054323-11/2024/М</v>
      </c>
      <c r="B2125" s="6">
        <v>45616</v>
      </c>
      <c r="C2125" s="1" t="str">
        <f>"01"</f>
        <v>01</v>
      </c>
      <c r="D2125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2125" s="1" t="str">
        <f>"04054323"</f>
        <v>04054323</v>
      </c>
      <c r="F2125" s="1" t="str">
        <f>"Рогатинська міська рада"</f>
        <v>Рогатинська міська рада</v>
      </c>
      <c r="G2125" s="1" t="str">
        <f t="shared" si="288"/>
        <v>Фізична особа</v>
      </c>
      <c r="H2125" s="1" t="s">
        <v>20</v>
      </c>
      <c r="I2125" s="1" t="s">
        <v>20</v>
      </c>
      <c r="J2125" s="1" t="str">
        <f>"На обробці в СНАП"</f>
        <v>На обробці в СНАП</v>
      </c>
      <c r="K2125" s="1" t="s">
        <v>20</v>
      </c>
      <c r="L2125" s="1" t="s">
        <v>20</v>
      </c>
      <c r="M2125" s="1" t="s">
        <v>22</v>
      </c>
      <c r="N2125" s="1" t="s">
        <v>20</v>
      </c>
    </row>
    <row r="2126" spans="1:14" x14ac:dyDescent="0.3">
      <c r="A2126" s="1" t="str">
        <f>"9_1683/04054323-11/2024/Ф"</f>
        <v>9_1683/04054323-11/2024/Ф</v>
      </c>
      <c r="B2126" s="6">
        <v>45616</v>
      </c>
      <c r="C2126" s="1" t="str">
        <f>"01-1"</f>
        <v>01-1</v>
      </c>
      <c r="D2126" s="2" t="s">
        <v>0</v>
      </c>
      <c r="E2126" s="1" t="str">
        <f>"04054323"</f>
        <v>04054323</v>
      </c>
      <c r="F2126" s="1" t="str">
        <f>"Рогатинська міська рада"</f>
        <v>Рогатинська міська рада</v>
      </c>
      <c r="G2126" s="1" t="s">
        <v>21</v>
      </c>
      <c r="H2126" s="1" t="s">
        <v>20</v>
      </c>
      <c r="I2126" s="1" t="s">
        <v>20</v>
      </c>
      <c r="J2126" s="1" t="str">
        <f>"На обробці в СНАП"</f>
        <v>На обробці в СНАП</v>
      </c>
      <c r="K2126" s="1" t="s">
        <v>20</v>
      </c>
      <c r="L2126" s="1" t="s">
        <v>20</v>
      </c>
      <c r="M2126" s="1" t="s">
        <v>22</v>
      </c>
      <c r="N2126" s="1" t="s">
        <v>20</v>
      </c>
    </row>
    <row r="2127" spans="1:14" x14ac:dyDescent="0.3">
      <c r="A2127" s="1" t="str">
        <f>"1_5931/2129-11/2024/П"</f>
        <v>1_5931/2129-11/2024/П</v>
      </c>
      <c r="B2127" s="6">
        <v>45616</v>
      </c>
      <c r="C2127" s="1" t="str">
        <f>"00038"</f>
        <v>00038</v>
      </c>
      <c r="D212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27" s="1" t="s">
        <v>20</v>
      </c>
      <c r="F212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27" s="1" t="str">
        <f t="shared" ref="G2127:G2140" si="291">"Фізична особа"</f>
        <v>Фізична особа</v>
      </c>
      <c r="H2127" s="1" t="s">
        <v>20</v>
      </c>
      <c r="I2127" s="1" t="s">
        <v>20</v>
      </c>
      <c r="J2127" s="1" t="str">
        <f>"Закрито"</f>
        <v>Закрито</v>
      </c>
      <c r="K2127" s="5">
        <v>45616</v>
      </c>
      <c r="L2127" s="1" t="s">
        <v>20</v>
      </c>
      <c r="M2127" s="1" t="s">
        <v>22</v>
      </c>
      <c r="N2127" s="5">
        <v>45616</v>
      </c>
    </row>
    <row r="2128" spans="1:14" x14ac:dyDescent="0.3">
      <c r="A2128" s="1" t="str">
        <f>"14_1012-11/2024/К"</f>
        <v>14_1012-11/2024/К</v>
      </c>
      <c r="B2128" s="6">
        <v>45616</v>
      </c>
      <c r="C2128" s="1" t="str">
        <f>"00038"</f>
        <v>00038</v>
      </c>
      <c r="D212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28" s="1" t="s">
        <v>20</v>
      </c>
      <c r="F21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28" s="1" t="str">
        <f t="shared" si="291"/>
        <v>Фізична особа</v>
      </c>
      <c r="H2128" s="1" t="s">
        <v>20</v>
      </c>
      <c r="I2128" s="1" t="s">
        <v>20</v>
      </c>
      <c r="J2128" s="1" t="str">
        <f>"Закрито"</f>
        <v>Закрито</v>
      </c>
      <c r="K2128" s="5">
        <v>45616</v>
      </c>
      <c r="L2128" s="1" t="s">
        <v>20</v>
      </c>
      <c r="M2128" s="1" t="s">
        <v>22</v>
      </c>
      <c r="N2128" s="5">
        <v>45616</v>
      </c>
    </row>
    <row r="2129" spans="1:14" x14ac:dyDescent="0.3">
      <c r="A2129" s="1" t="str">
        <f>"14_1013-11/2024/К"</f>
        <v>14_1013-11/2024/К</v>
      </c>
      <c r="B2129" s="6">
        <v>45616</v>
      </c>
      <c r="C2129" s="1" t="str">
        <f>"00038"</f>
        <v>00038</v>
      </c>
      <c r="D212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29" s="1" t="s">
        <v>20</v>
      </c>
      <c r="F212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29" s="1" t="str">
        <f t="shared" si="291"/>
        <v>Фізична особа</v>
      </c>
      <c r="H2129" s="1" t="s">
        <v>20</v>
      </c>
      <c r="I2129" s="1" t="s">
        <v>20</v>
      </c>
      <c r="J2129" s="1" t="str">
        <f>"Закрито"</f>
        <v>Закрито</v>
      </c>
      <c r="K2129" s="5">
        <v>45616</v>
      </c>
      <c r="L2129" s="1" t="s">
        <v>20</v>
      </c>
      <c r="M2129" s="1" t="s">
        <v>22</v>
      </c>
      <c r="N2129" s="5">
        <v>45616</v>
      </c>
    </row>
    <row r="2130" spans="1:14" x14ac:dyDescent="0.3">
      <c r="A2130" s="1" t="str">
        <f>"14_1014-11/2024/К"</f>
        <v>14_1014-11/2024/К</v>
      </c>
      <c r="B2130" s="6">
        <v>45616</v>
      </c>
      <c r="C2130" s="1" t="str">
        <f>"00155"</f>
        <v>00155</v>
      </c>
      <c r="D2130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130" s="1" t="str">
        <f>"03193413"</f>
        <v>03193413</v>
      </c>
      <c r="F213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130" s="1" t="str">
        <f t="shared" si="291"/>
        <v>Фізична особа</v>
      </c>
      <c r="H2130" s="1" t="s">
        <v>20</v>
      </c>
      <c r="I2130" s="1" t="s">
        <v>20</v>
      </c>
      <c r="J2130" s="1" t="str">
        <f>"На обробці в СНАП"</f>
        <v>На обробці в СНАП</v>
      </c>
      <c r="K2130" s="1" t="s">
        <v>20</v>
      </c>
      <c r="L2130" s="1" t="s">
        <v>20</v>
      </c>
      <c r="M2130" s="1" t="s">
        <v>22</v>
      </c>
      <c r="N2130" s="1" t="s">
        <v>20</v>
      </c>
    </row>
    <row r="2131" spans="1:14" x14ac:dyDescent="0.3">
      <c r="A2131" s="1" t="str">
        <f>"9_1684/04054323-11/2024/П"</f>
        <v>9_1684/04054323-11/2024/П</v>
      </c>
      <c r="B2131" s="6">
        <v>45616</v>
      </c>
      <c r="C2131" s="1" t="str">
        <f>"01"</f>
        <v>01</v>
      </c>
      <c r="D2131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2131" s="1" t="str">
        <f>"04054323"</f>
        <v>04054323</v>
      </c>
      <c r="F2131" s="1" t="str">
        <f>"Рогатинська міська рада"</f>
        <v>Рогатинська міська рада</v>
      </c>
      <c r="G2131" s="1" t="str">
        <f t="shared" si="291"/>
        <v>Фізична особа</v>
      </c>
      <c r="H2131" s="1" t="s">
        <v>20</v>
      </c>
      <c r="I2131" s="1" t="s">
        <v>20</v>
      </c>
      <c r="J2131" s="1" t="str">
        <f>"На обробці в СНАП"</f>
        <v>На обробці в СНАП</v>
      </c>
      <c r="K2131" s="1" t="s">
        <v>20</v>
      </c>
      <c r="L2131" s="1" t="s">
        <v>20</v>
      </c>
      <c r="M2131" s="1" t="s">
        <v>22</v>
      </c>
      <c r="N2131" s="1" t="s">
        <v>20</v>
      </c>
    </row>
    <row r="2132" spans="1:14" x14ac:dyDescent="0.3">
      <c r="A2132" s="1" t="str">
        <f>"34_393-11/2024/З"</f>
        <v>34_393-11/2024/З</v>
      </c>
      <c r="B2132" s="6">
        <v>45616</v>
      </c>
      <c r="C2132" s="1" t="str">
        <f>"01495"</f>
        <v>01495</v>
      </c>
      <c r="D2132" s="2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2132" s="1" t="s">
        <v>20</v>
      </c>
      <c r="F21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32" s="1" t="str">
        <f t="shared" si="291"/>
        <v>Фізична особа</v>
      </c>
      <c r="H2132" s="1" t="s">
        <v>20</v>
      </c>
      <c r="I2132" s="1" t="s">
        <v>20</v>
      </c>
      <c r="J2132" s="1" t="str">
        <f t="shared" ref="J2132:J2153" si="292">"Закрито"</f>
        <v>Закрито</v>
      </c>
      <c r="K2132" s="5">
        <v>45616</v>
      </c>
      <c r="L2132" s="1" t="s">
        <v>20</v>
      </c>
      <c r="M2132" s="1" t="s">
        <v>22</v>
      </c>
      <c r="N2132" s="5">
        <v>45616</v>
      </c>
    </row>
    <row r="2133" spans="1:14" x14ac:dyDescent="0.3">
      <c r="A2133" s="1" t="str">
        <f>"35_516-11/2024/Г"</f>
        <v>35_516-11/2024/Г</v>
      </c>
      <c r="B2133" s="6">
        <v>45616</v>
      </c>
      <c r="C2133" s="1" t="str">
        <f>"00244"</f>
        <v>00244</v>
      </c>
      <c r="D2133" s="2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2133" s="1" t="str">
        <f>"04054323"</f>
        <v>04054323</v>
      </c>
      <c r="F2133" s="1" t="str">
        <f>"Рогатинська міська рада"</f>
        <v>Рогатинська міська рада</v>
      </c>
      <c r="G2133" s="1" t="str">
        <f t="shared" si="291"/>
        <v>Фізична особа</v>
      </c>
      <c r="H2133" s="1" t="s">
        <v>20</v>
      </c>
      <c r="I2133" s="1" t="s">
        <v>20</v>
      </c>
      <c r="J2133" s="1" t="str">
        <f t="shared" si="292"/>
        <v>Закрито</v>
      </c>
      <c r="K2133" s="5">
        <v>45616</v>
      </c>
      <c r="L2133" s="1" t="s">
        <v>20</v>
      </c>
      <c r="M2133" s="1" t="s">
        <v>22</v>
      </c>
      <c r="N2133" s="5">
        <v>45616</v>
      </c>
    </row>
    <row r="2134" spans="1:14" x14ac:dyDescent="0.3">
      <c r="A2134" s="1" t="str">
        <f>"1_5932/2129-11/2024/Г"</f>
        <v>1_5932/2129-11/2024/Г</v>
      </c>
      <c r="B2134" s="6">
        <v>45616</v>
      </c>
      <c r="C2134" s="1" t="str">
        <f>"00038"</f>
        <v>00038</v>
      </c>
      <c r="D213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34" s="1" t="s">
        <v>20</v>
      </c>
      <c r="F21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34" s="1" t="str">
        <f t="shared" si="291"/>
        <v>Фізична особа</v>
      </c>
      <c r="H2134" s="1" t="s">
        <v>20</v>
      </c>
      <c r="I2134" s="1" t="s">
        <v>20</v>
      </c>
      <c r="J2134" s="1" t="str">
        <f t="shared" si="292"/>
        <v>Закрито</v>
      </c>
      <c r="K2134" s="5">
        <v>45616</v>
      </c>
      <c r="L2134" s="1" t="s">
        <v>20</v>
      </c>
      <c r="M2134" s="1" t="s">
        <v>22</v>
      </c>
      <c r="N2134" s="5">
        <v>45616</v>
      </c>
    </row>
    <row r="2135" spans="1:14" x14ac:dyDescent="0.3">
      <c r="A2135" s="1" t="str">
        <f>"35_517-11/2024/Р"</f>
        <v>35_517-11/2024/Р</v>
      </c>
      <c r="B2135" s="6">
        <v>45616</v>
      </c>
      <c r="C2135" s="1" t="str">
        <f>"00038"</f>
        <v>00038</v>
      </c>
      <c r="D213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35" s="1" t="s">
        <v>20</v>
      </c>
      <c r="F213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35" s="1" t="str">
        <f t="shared" si="291"/>
        <v>Фізична особа</v>
      </c>
      <c r="H2135" s="1" t="s">
        <v>20</v>
      </c>
      <c r="I2135" s="1" t="s">
        <v>20</v>
      </c>
      <c r="J2135" s="1" t="str">
        <f t="shared" si="292"/>
        <v>Закрито</v>
      </c>
      <c r="K2135" s="5">
        <v>45616</v>
      </c>
      <c r="L2135" s="1" t="s">
        <v>20</v>
      </c>
      <c r="M2135" s="1" t="s">
        <v>22</v>
      </c>
      <c r="N2135" s="5">
        <v>45616</v>
      </c>
    </row>
    <row r="2136" spans="1:14" x14ac:dyDescent="0.3">
      <c r="A2136" s="1" t="str">
        <f>"22_555-11/2024/К"</f>
        <v>22_555-11/2024/К</v>
      </c>
      <c r="B2136" s="6">
        <v>45616</v>
      </c>
      <c r="C2136" s="1" t="str">
        <f>"00064"</f>
        <v>00064</v>
      </c>
      <c r="D2136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136" s="1" t="s">
        <v>20</v>
      </c>
      <c r="F2136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136" s="1" t="str">
        <f t="shared" si="291"/>
        <v>Фізична особа</v>
      </c>
      <c r="H2136" s="1" t="s">
        <v>20</v>
      </c>
      <c r="I2136" s="1" t="s">
        <v>20</v>
      </c>
      <c r="J2136" s="1" t="str">
        <f t="shared" si="292"/>
        <v>Закрито</v>
      </c>
      <c r="K2136" s="5">
        <v>45616</v>
      </c>
      <c r="L2136" s="1" t="s">
        <v>20</v>
      </c>
      <c r="M2136" s="1" t="s">
        <v>22</v>
      </c>
      <c r="N2136" s="5">
        <v>45616</v>
      </c>
    </row>
    <row r="2137" spans="1:14" x14ac:dyDescent="0.3">
      <c r="A2137" s="1" t="str">
        <f>"31_497-11/2024/Б"</f>
        <v>31_497-11/2024/Б</v>
      </c>
      <c r="B2137" s="6">
        <v>45616</v>
      </c>
      <c r="C2137" s="1" t="str">
        <f>"00038"</f>
        <v>00038</v>
      </c>
      <c r="D213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37" s="1" t="s">
        <v>20</v>
      </c>
      <c r="F2137" s="1" t="str">
        <f t="shared" ref="F2137:F2151" si="293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37" s="1" t="str">
        <f t="shared" si="291"/>
        <v>Фізична особа</v>
      </c>
      <c r="H2137" s="1" t="s">
        <v>20</v>
      </c>
      <c r="I2137" s="1" t="s">
        <v>20</v>
      </c>
      <c r="J2137" s="1" t="str">
        <f t="shared" si="292"/>
        <v>Закрито</v>
      </c>
      <c r="K2137" s="5">
        <v>45616</v>
      </c>
      <c r="L2137" s="1" t="s">
        <v>20</v>
      </c>
      <c r="M2137" s="1" t="s">
        <v>22</v>
      </c>
      <c r="N2137" s="5">
        <v>45616</v>
      </c>
    </row>
    <row r="2138" spans="1:14" x14ac:dyDescent="0.3">
      <c r="A2138" s="1" t="str">
        <f>"31_498-11/2024/Л"</f>
        <v>31_498-11/2024/Л</v>
      </c>
      <c r="B2138" s="6">
        <v>45616</v>
      </c>
      <c r="C2138" s="1" t="str">
        <f>"00038"</f>
        <v>00038</v>
      </c>
      <c r="D213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38" s="1" t="s">
        <v>20</v>
      </c>
      <c r="F2138" s="1" t="str">
        <f t="shared" si="293"/>
        <v>Центр надання адміністративних послуг Рогатинської міської ради</v>
      </c>
      <c r="G2138" s="1" t="str">
        <f t="shared" si="291"/>
        <v>Фізична особа</v>
      </c>
      <c r="H2138" s="1" t="s">
        <v>20</v>
      </c>
      <c r="I2138" s="1" t="s">
        <v>20</v>
      </c>
      <c r="J2138" s="1" t="str">
        <f t="shared" si="292"/>
        <v>Закрито</v>
      </c>
      <c r="K2138" s="5">
        <v>45616</v>
      </c>
      <c r="L2138" s="1" t="s">
        <v>20</v>
      </c>
      <c r="M2138" s="1" t="s">
        <v>22</v>
      </c>
      <c r="N2138" s="5">
        <v>45616</v>
      </c>
    </row>
    <row r="2139" spans="1:14" x14ac:dyDescent="0.3">
      <c r="A2139" s="1" t="str">
        <f>"1_5933/2129-11/2024/Ш"</f>
        <v>1_5933/2129-11/2024/Ш</v>
      </c>
      <c r="B2139" s="6">
        <v>45616</v>
      </c>
      <c r="C2139" s="1" t="str">
        <f>"00038"</f>
        <v>00038</v>
      </c>
      <c r="D213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39" s="1" t="s">
        <v>20</v>
      </c>
      <c r="F2139" s="1" t="str">
        <f t="shared" si="293"/>
        <v>Центр надання адміністративних послуг Рогатинської міської ради</v>
      </c>
      <c r="G2139" s="1" t="str">
        <f t="shared" si="291"/>
        <v>Фізична особа</v>
      </c>
      <c r="H2139" s="1" t="s">
        <v>20</v>
      </c>
      <c r="I2139" s="1" t="s">
        <v>20</v>
      </c>
      <c r="J2139" s="1" t="str">
        <f t="shared" si="292"/>
        <v>Закрито</v>
      </c>
      <c r="K2139" s="5">
        <v>45616</v>
      </c>
      <c r="L2139" s="1" t="s">
        <v>20</v>
      </c>
      <c r="M2139" s="1" t="s">
        <v>22</v>
      </c>
      <c r="N2139" s="5">
        <v>45616</v>
      </c>
    </row>
    <row r="2140" spans="1:14" x14ac:dyDescent="0.3">
      <c r="A2140" s="1" t="str">
        <f>"1_5934/2129-11/2024/П"</f>
        <v>1_5934/2129-11/2024/П</v>
      </c>
      <c r="B2140" s="6">
        <v>45616</v>
      </c>
      <c r="C2140" s="1" t="str">
        <f>"00038"</f>
        <v>00038</v>
      </c>
      <c r="D214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40" s="1" t="s">
        <v>20</v>
      </c>
      <c r="F2140" s="1" t="str">
        <f t="shared" si="293"/>
        <v>Центр надання адміністративних послуг Рогатинської міської ради</v>
      </c>
      <c r="G2140" s="1" t="str">
        <f t="shared" si="291"/>
        <v>Фізична особа</v>
      </c>
      <c r="H2140" s="1" t="s">
        <v>20</v>
      </c>
      <c r="I2140" s="1" t="s">
        <v>20</v>
      </c>
      <c r="J2140" s="1" t="str">
        <f t="shared" si="292"/>
        <v>Закрито</v>
      </c>
      <c r="K2140" s="5">
        <v>45616</v>
      </c>
      <c r="L2140" s="1" t="s">
        <v>20</v>
      </c>
      <c r="M2140" s="1" t="s">
        <v>22</v>
      </c>
      <c r="N2140" s="5">
        <v>45616</v>
      </c>
    </row>
    <row r="2141" spans="1:14" x14ac:dyDescent="0.3">
      <c r="A2141" s="1" t="str">
        <f>"1_5935/2129-11/2024/Д"</f>
        <v>1_5935/2129-11/2024/Д</v>
      </c>
      <c r="B2141" s="6">
        <v>45616</v>
      </c>
      <c r="C2141" s="1" t="str">
        <f>"01298"</f>
        <v>01298</v>
      </c>
      <c r="D2141" s="2" t="str">
        <f>"Видача довідки про реєстрацію місця проживання померлого,  у тому числі про поживаючих разом з померлим за однією адресою"</f>
        <v>Видача довідки про реєстрацію місця проживання померлого,  у тому числі про поживаючих разом з померлим за однією адресою</v>
      </c>
      <c r="E2141" s="1" t="s">
        <v>20</v>
      </c>
      <c r="F2141" s="1" t="str">
        <f t="shared" si="293"/>
        <v>Центр надання адміністративних послуг Рогатинської міської ради</v>
      </c>
      <c r="G2141" s="1" t="str">
        <f>"Юридична особа"</f>
        <v>Юридична особа</v>
      </c>
      <c r="H2141" s="1" t="str">
        <f>"Державний нотаріус"</f>
        <v>Державний нотаріус</v>
      </c>
      <c r="I2141" s="1" t="str">
        <f>"02891931"</f>
        <v>02891931</v>
      </c>
      <c r="J2141" s="1" t="str">
        <f t="shared" si="292"/>
        <v>Закрито</v>
      </c>
      <c r="K2141" s="5">
        <v>45616</v>
      </c>
      <c r="L2141" s="1" t="s">
        <v>20</v>
      </c>
      <c r="M2141" s="1" t="s">
        <v>22</v>
      </c>
      <c r="N2141" s="5">
        <v>45616</v>
      </c>
    </row>
    <row r="2142" spans="1:14" x14ac:dyDescent="0.3">
      <c r="A2142" s="1" t="str">
        <f>"31_499-11/2024/Л"</f>
        <v>31_499-11/2024/Л</v>
      </c>
      <c r="B2142" s="6">
        <v>45616</v>
      </c>
      <c r="C2142" s="1" t="str">
        <f>"00038"</f>
        <v>00038</v>
      </c>
      <c r="D214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42" s="1" t="s">
        <v>20</v>
      </c>
      <c r="F2142" s="1" t="str">
        <f t="shared" si="293"/>
        <v>Центр надання адміністративних послуг Рогатинської міської ради</v>
      </c>
      <c r="G2142" s="1" t="str">
        <f t="shared" ref="G2142:G2173" si="294">"Фізична особа"</f>
        <v>Фізична особа</v>
      </c>
      <c r="H2142" s="1" t="s">
        <v>20</v>
      </c>
      <c r="I2142" s="1" t="s">
        <v>20</v>
      </c>
      <c r="J2142" s="1" t="str">
        <f t="shared" si="292"/>
        <v>Закрито</v>
      </c>
      <c r="K2142" s="5">
        <v>45616</v>
      </c>
      <c r="L2142" s="1" t="s">
        <v>20</v>
      </c>
      <c r="M2142" s="1" t="s">
        <v>22</v>
      </c>
      <c r="N2142" s="5">
        <v>45616</v>
      </c>
    </row>
    <row r="2143" spans="1:14" x14ac:dyDescent="0.3">
      <c r="A2143" s="1" t="str">
        <f>"1_5936/2129-11/2024/Д"</f>
        <v>1_5936/2129-11/2024/Д</v>
      </c>
      <c r="B2143" s="6">
        <v>45616</v>
      </c>
      <c r="C2143" s="1" t="str">
        <f>"00038"</f>
        <v>00038</v>
      </c>
      <c r="D214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43" s="1" t="s">
        <v>20</v>
      </c>
      <c r="F2143" s="1" t="str">
        <f t="shared" si="293"/>
        <v>Центр надання адміністративних послуг Рогатинської міської ради</v>
      </c>
      <c r="G2143" s="1" t="str">
        <f t="shared" si="294"/>
        <v>Фізична особа</v>
      </c>
      <c r="H2143" s="1" t="s">
        <v>20</v>
      </c>
      <c r="I2143" s="1" t="s">
        <v>20</v>
      </c>
      <c r="J2143" s="1" t="str">
        <f t="shared" si="292"/>
        <v>Закрито</v>
      </c>
      <c r="K2143" s="5">
        <v>45616</v>
      </c>
      <c r="L2143" s="1" t="s">
        <v>20</v>
      </c>
      <c r="M2143" s="1" t="s">
        <v>22</v>
      </c>
      <c r="N2143" s="5">
        <v>45616</v>
      </c>
    </row>
    <row r="2144" spans="1:14" x14ac:dyDescent="0.3">
      <c r="A2144" s="1" t="str">
        <f>"1_5937/2129-11/2024/Д"</f>
        <v>1_5937/2129-11/2024/Д</v>
      </c>
      <c r="B2144" s="6">
        <v>45616</v>
      </c>
      <c r="C2144" s="1" t="str">
        <f>"00034"</f>
        <v>00034</v>
      </c>
      <c r="D2144" s="2" t="str">
        <f>"Реєстрація місця проживання"</f>
        <v>Реєстрація місця проживання</v>
      </c>
      <c r="E2144" s="1" t="s">
        <v>20</v>
      </c>
      <c r="F2144" s="1" t="str">
        <f t="shared" si="293"/>
        <v>Центр надання адміністративних послуг Рогатинської міської ради</v>
      </c>
      <c r="G2144" s="1" t="str">
        <f t="shared" si="294"/>
        <v>Фізична особа</v>
      </c>
      <c r="H2144" s="1" t="s">
        <v>20</v>
      </c>
      <c r="I2144" s="1" t="s">
        <v>20</v>
      </c>
      <c r="J2144" s="1" t="str">
        <f t="shared" si="292"/>
        <v>Закрито</v>
      </c>
      <c r="K2144" s="5">
        <v>45616</v>
      </c>
      <c r="L2144" s="1" t="str">
        <f>"75.7"</f>
        <v>75.7</v>
      </c>
      <c r="M2144" s="1" t="s">
        <v>22</v>
      </c>
      <c r="N2144" s="5">
        <v>45616</v>
      </c>
    </row>
    <row r="2145" spans="1:14" x14ac:dyDescent="0.3">
      <c r="A2145" s="1" t="str">
        <f>"31_500-11/2024/Б"</f>
        <v>31_500-11/2024/Б</v>
      </c>
      <c r="B2145" s="6">
        <v>45616</v>
      </c>
      <c r="C2145" s="1" t="str">
        <f t="shared" ref="C2145:C2151" si="295">"00038"</f>
        <v>00038</v>
      </c>
      <c r="D2145" s="2" t="str">
        <f t="shared" ref="D2145:D2151" si="296"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45" s="1" t="s">
        <v>20</v>
      </c>
      <c r="F2145" s="1" t="str">
        <f t="shared" si="293"/>
        <v>Центр надання адміністративних послуг Рогатинської міської ради</v>
      </c>
      <c r="G2145" s="1" t="str">
        <f t="shared" si="294"/>
        <v>Фізична особа</v>
      </c>
      <c r="H2145" s="1" t="s">
        <v>20</v>
      </c>
      <c r="I2145" s="1" t="s">
        <v>20</v>
      </c>
      <c r="J2145" s="1" t="str">
        <f t="shared" si="292"/>
        <v>Закрито</v>
      </c>
      <c r="K2145" s="5">
        <v>45616</v>
      </c>
      <c r="L2145" s="1" t="s">
        <v>20</v>
      </c>
      <c r="M2145" s="1" t="s">
        <v>22</v>
      </c>
      <c r="N2145" s="5">
        <v>45616</v>
      </c>
    </row>
    <row r="2146" spans="1:14" x14ac:dyDescent="0.3">
      <c r="A2146" s="1" t="str">
        <f>"1_5938/2129-11/2024/Д"</f>
        <v>1_5938/2129-11/2024/Д</v>
      </c>
      <c r="B2146" s="6">
        <v>45616</v>
      </c>
      <c r="C2146" s="1" t="str">
        <f t="shared" si="295"/>
        <v>00038</v>
      </c>
      <c r="D2146" s="2" t="str">
        <f t="shared" si="296"/>
        <v>Видача довідки про реєстрацію місця проживання або місця перебування особи</v>
      </c>
      <c r="E2146" s="1" t="s">
        <v>20</v>
      </c>
      <c r="F2146" s="1" t="str">
        <f t="shared" si="293"/>
        <v>Центр надання адміністративних послуг Рогатинської міської ради</v>
      </c>
      <c r="G2146" s="1" t="str">
        <f t="shared" si="294"/>
        <v>Фізична особа</v>
      </c>
      <c r="H2146" s="1" t="s">
        <v>20</v>
      </c>
      <c r="I2146" s="1" t="s">
        <v>20</v>
      </c>
      <c r="J2146" s="1" t="str">
        <f t="shared" si="292"/>
        <v>Закрито</v>
      </c>
      <c r="K2146" s="5">
        <v>45616</v>
      </c>
      <c r="L2146" s="1" t="s">
        <v>20</v>
      </c>
      <c r="M2146" s="1" t="s">
        <v>22</v>
      </c>
      <c r="N2146" s="5">
        <v>45616</v>
      </c>
    </row>
    <row r="2147" spans="1:14" x14ac:dyDescent="0.3">
      <c r="A2147" s="1" t="str">
        <f>"1_5939/2129-11/2024/К"</f>
        <v>1_5939/2129-11/2024/К</v>
      </c>
      <c r="B2147" s="6">
        <v>45616</v>
      </c>
      <c r="C2147" s="1" t="str">
        <f t="shared" si="295"/>
        <v>00038</v>
      </c>
      <c r="D2147" s="2" t="str">
        <f t="shared" si="296"/>
        <v>Видача довідки про реєстрацію місця проживання або місця перебування особи</v>
      </c>
      <c r="E2147" s="1" t="s">
        <v>20</v>
      </c>
      <c r="F2147" s="1" t="str">
        <f t="shared" si="293"/>
        <v>Центр надання адміністративних послуг Рогатинської міської ради</v>
      </c>
      <c r="G2147" s="1" t="str">
        <f t="shared" si="294"/>
        <v>Фізична особа</v>
      </c>
      <c r="H2147" s="1" t="s">
        <v>20</v>
      </c>
      <c r="I2147" s="1" t="s">
        <v>20</v>
      </c>
      <c r="J2147" s="1" t="str">
        <f t="shared" si="292"/>
        <v>Закрито</v>
      </c>
      <c r="K2147" s="5">
        <v>45616</v>
      </c>
      <c r="L2147" s="1" t="s">
        <v>20</v>
      </c>
      <c r="M2147" s="1" t="s">
        <v>22</v>
      </c>
      <c r="N2147" s="5">
        <v>45616</v>
      </c>
    </row>
    <row r="2148" spans="1:14" x14ac:dyDescent="0.3">
      <c r="A2148" s="1" t="str">
        <f>"1_5940/2129-11/2024/Б"</f>
        <v>1_5940/2129-11/2024/Б</v>
      </c>
      <c r="B2148" s="6">
        <v>45616</v>
      </c>
      <c r="C2148" s="1" t="str">
        <f t="shared" si="295"/>
        <v>00038</v>
      </c>
      <c r="D2148" s="2" t="str">
        <f t="shared" si="296"/>
        <v>Видача довідки про реєстрацію місця проживання або місця перебування особи</v>
      </c>
      <c r="E2148" s="1" t="s">
        <v>20</v>
      </c>
      <c r="F2148" s="1" t="str">
        <f t="shared" si="293"/>
        <v>Центр надання адміністративних послуг Рогатинської міської ради</v>
      </c>
      <c r="G2148" s="1" t="str">
        <f t="shared" si="294"/>
        <v>Фізична особа</v>
      </c>
      <c r="H2148" s="1" t="s">
        <v>20</v>
      </c>
      <c r="I2148" s="1" t="s">
        <v>20</v>
      </c>
      <c r="J2148" s="1" t="str">
        <f t="shared" si="292"/>
        <v>Закрито</v>
      </c>
      <c r="K2148" s="5">
        <v>45616</v>
      </c>
      <c r="L2148" s="1" t="s">
        <v>20</v>
      </c>
      <c r="M2148" s="1" t="s">
        <v>22</v>
      </c>
      <c r="N2148" s="5">
        <v>45616</v>
      </c>
    </row>
    <row r="2149" spans="1:14" x14ac:dyDescent="0.3">
      <c r="A2149" s="1" t="str">
        <f>"1_5941/2129-11/2024/Ц"</f>
        <v>1_5941/2129-11/2024/Ц</v>
      </c>
      <c r="B2149" s="6">
        <v>45616</v>
      </c>
      <c r="C2149" s="1" t="str">
        <f t="shared" si="295"/>
        <v>00038</v>
      </c>
      <c r="D2149" s="2" t="str">
        <f t="shared" si="296"/>
        <v>Видача довідки про реєстрацію місця проживання або місця перебування особи</v>
      </c>
      <c r="E2149" s="1" t="s">
        <v>20</v>
      </c>
      <c r="F2149" s="1" t="str">
        <f t="shared" si="293"/>
        <v>Центр надання адміністративних послуг Рогатинської міської ради</v>
      </c>
      <c r="G2149" s="1" t="str">
        <f t="shared" si="294"/>
        <v>Фізична особа</v>
      </c>
      <c r="H2149" s="1" t="s">
        <v>20</v>
      </c>
      <c r="I2149" s="1" t="s">
        <v>20</v>
      </c>
      <c r="J2149" s="1" t="str">
        <f t="shared" si="292"/>
        <v>Закрито</v>
      </c>
      <c r="K2149" s="5">
        <v>45616</v>
      </c>
      <c r="L2149" s="1" t="s">
        <v>20</v>
      </c>
      <c r="M2149" s="1" t="s">
        <v>22</v>
      </c>
      <c r="N2149" s="5">
        <v>45616</v>
      </c>
    </row>
    <row r="2150" spans="1:14" x14ac:dyDescent="0.3">
      <c r="A2150" s="1" t="str">
        <f>"1_5942/2129-11/2024/Ц"</f>
        <v>1_5942/2129-11/2024/Ц</v>
      </c>
      <c r="B2150" s="6">
        <v>45616</v>
      </c>
      <c r="C2150" s="1" t="str">
        <f t="shared" si="295"/>
        <v>00038</v>
      </c>
      <c r="D2150" s="2" t="str">
        <f t="shared" si="296"/>
        <v>Видача довідки про реєстрацію місця проживання або місця перебування особи</v>
      </c>
      <c r="E2150" s="1" t="s">
        <v>20</v>
      </c>
      <c r="F2150" s="1" t="str">
        <f t="shared" si="293"/>
        <v>Центр надання адміністративних послуг Рогатинської міської ради</v>
      </c>
      <c r="G2150" s="1" t="str">
        <f t="shared" si="294"/>
        <v>Фізична особа</v>
      </c>
      <c r="H2150" s="1" t="s">
        <v>20</v>
      </c>
      <c r="I2150" s="1" t="s">
        <v>20</v>
      </c>
      <c r="J2150" s="1" t="str">
        <f t="shared" si="292"/>
        <v>Закрито</v>
      </c>
      <c r="K2150" s="5">
        <v>45616</v>
      </c>
      <c r="L2150" s="1" t="s">
        <v>20</v>
      </c>
      <c r="M2150" s="1" t="s">
        <v>22</v>
      </c>
      <c r="N2150" s="5">
        <v>45616</v>
      </c>
    </row>
    <row r="2151" spans="1:14" x14ac:dyDescent="0.3">
      <c r="A2151" s="1" t="str">
        <f>"1_5943/2129-11/2024/Ц"</f>
        <v>1_5943/2129-11/2024/Ц</v>
      </c>
      <c r="B2151" s="6">
        <v>45616</v>
      </c>
      <c r="C2151" s="1" t="str">
        <f t="shared" si="295"/>
        <v>00038</v>
      </c>
      <c r="D2151" s="2" t="str">
        <f t="shared" si="296"/>
        <v>Видача довідки про реєстрацію місця проживання або місця перебування особи</v>
      </c>
      <c r="E2151" s="1" t="s">
        <v>20</v>
      </c>
      <c r="F2151" s="1" t="str">
        <f t="shared" si="293"/>
        <v>Центр надання адміністративних послуг Рогатинської міської ради</v>
      </c>
      <c r="G2151" s="1" t="str">
        <f t="shared" si="294"/>
        <v>Фізична особа</v>
      </c>
      <c r="H2151" s="1" t="s">
        <v>20</v>
      </c>
      <c r="I2151" s="1" t="s">
        <v>20</v>
      </c>
      <c r="J2151" s="1" t="str">
        <f t="shared" si="292"/>
        <v>Закрито</v>
      </c>
      <c r="K2151" s="5">
        <v>45616</v>
      </c>
      <c r="L2151" s="1" t="s">
        <v>20</v>
      </c>
      <c r="M2151" s="1" t="s">
        <v>22</v>
      </c>
      <c r="N2151" s="5">
        <v>45616</v>
      </c>
    </row>
    <row r="2152" spans="1:14" x14ac:dyDescent="0.3">
      <c r="A2152" s="1" t="str">
        <f>"4_1286/03193413-11/2024/Р"</f>
        <v>4_1286/03193413-11/2024/Р</v>
      </c>
      <c r="B2152" s="6">
        <v>45616</v>
      </c>
      <c r="C2152" s="1" t="str">
        <f>"00155"</f>
        <v>00155</v>
      </c>
      <c r="D2152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152" s="1" t="str">
        <f>"03193413"</f>
        <v>03193413</v>
      </c>
      <c r="F215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152" s="1" t="str">
        <f t="shared" si="294"/>
        <v>Фізична особа</v>
      </c>
      <c r="H2152" s="1" t="s">
        <v>20</v>
      </c>
      <c r="I2152" s="1" t="s">
        <v>20</v>
      </c>
      <c r="J2152" s="1" t="str">
        <f t="shared" si="292"/>
        <v>Закрито</v>
      </c>
      <c r="K2152" s="5">
        <v>45629</v>
      </c>
      <c r="L2152" s="1" t="s">
        <v>20</v>
      </c>
      <c r="M2152" s="1" t="s">
        <v>22</v>
      </c>
      <c r="N2152" s="5">
        <v>45629</v>
      </c>
    </row>
    <row r="2153" spans="1:14" x14ac:dyDescent="0.3">
      <c r="A2153" s="1" t="str">
        <f>"31_501-11/2024/С"</f>
        <v>31_501-11/2024/С</v>
      </c>
      <c r="B2153" s="6">
        <v>45616</v>
      </c>
      <c r="C2153" s="1" t="str">
        <f>"00038"</f>
        <v>00038</v>
      </c>
      <c r="D215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53" s="1" t="s">
        <v>20</v>
      </c>
      <c r="F21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53" s="1" t="str">
        <f t="shared" si="294"/>
        <v>Фізична особа</v>
      </c>
      <c r="H2153" s="1" t="s">
        <v>20</v>
      </c>
      <c r="I2153" s="1" t="s">
        <v>20</v>
      </c>
      <c r="J2153" s="1" t="str">
        <f t="shared" si="292"/>
        <v>Закрито</v>
      </c>
      <c r="K2153" s="5">
        <v>45616</v>
      </c>
      <c r="L2153" s="1" t="s">
        <v>20</v>
      </c>
      <c r="M2153" s="1" t="s">
        <v>22</v>
      </c>
      <c r="N2153" s="5">
        <v>45616</v>
      </c>
    </row>
    <row r="2154" spans="1:14" x14ac:dyDescent="0.3">
      <c r="A2154" s="1" t="str">
        <f>"31_502-11/2024/Б"</f>
        <v>31_502-11/2024/Б</v>
      </c>
      <c r="B2154" s="6">
        <v>45616</v>
      </c>
      <c r="C2154" s="1" t="str">
        <f>"00242"</f>
        <v>00242</v>
      </c>
      <c r="D2154" s="2" t="str">
        <f>"Видача посвідчення особам з інвалідністю з дитинства та дітям з інвалідністю"</f>
        <v>Видача посвідчення особам з інвалідністю з дитинства та дітям з інвалідністю</v>
      </c>
      <c r="E2154" s="1" t="str">
        <f>"03193413"</f>
        <v>03193413</v>
      </c>
      <c r="F215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154" s="1" t="str">
        <f t="shared" si="294"/>
        <v>Фізична особа</v>
      </c>
      <c r="H2154" s="1" t="s">
        <v>20</v>
      </c>
      <c r="I2154" s="1" t="s">
        <v>20</v>
      </c>
      <c r="J2154" s="1" t="str">
        <f>"На обробці в СНАП"</f>
        <v>На обробці в СНАП</v>
      </c>
      <c r="K2154" s="1" t="s">
        <v>20</v>
      </c>
      <c r="L2154" s="1" t="s">
        <v>20</v>
      </c>
      <c r="M2154" s="1" t="s">
        <v>22</v>
      </c>
      <c r="N2154" s="1" t="s">
        <v>20</v>
      </c>
    </row>
    <row r="2155" spans="1:14" x14ac:dyDescent="0.3">
      <c r="A2155" s="1" t="str">
        <f>"31_503-11/2024/Б"</f>
        <v>31_503-11/2024/Б</v>
      </c>
      <c r="B2155" s="6">
        <v>45616</v>
      </c>
      <c r="C2155" s="1" t="str">
        <f>"01196"</f>
        <v>01196</v>
      </c>
      <c r="D2155" s="2" t="str">
        <f>"Продовження строку дії посвідчень батьків багатодітної сім’ї та дитини з багатодітної сім'ї"</f>
        <v>Продовження строку дії посвідчень батьків багатодітної сім’ї та дитини з багатодітної сім'ї</v>
      </c>
      <c r="E2155" s="1" t="str">
        <f>"03193413"</f>
        <v>03193413</v>
      </c>
      <c r="F215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155" s="1" t="str">
        <f t="shared" si="294"/>
        <v>Фізична особа</v>
      </c>
      <c r="H2155" s="1" t="s">
        <v>20</v>
      </c>
      <c r="I2155" s="1" t="s">
        <v>20</v>
      </c>
      <c r="J2155" s="1" t="str">
        <f>"На обробці в СНАП"</f>
        <v>На обробці в СНАП</v>
      </c>
      <c r="K2155" s="1" t="s">
        <v>20</v>
      </c>
      <c r="L2155" s="1" t="s">
        <v>20</v>
      </c>
      <c r="M2155" s="1" t="s">
        <v>22</v>
      </c>
      <c r="N2155" s="1" t="s">
        <v>20</v>
      </c>
    </row>
    <row r="2156" spans="1:14" x14ac:dyDescent="0.3">
      <c r="A2156" s="1" t="str">
        <f>"34_394-11/2024/К"</f>
        <v>34_394-11/2024/К</v>
      </c>
      <c r="B2156" s="6">
        <v>45616</v>
      </c>
      <c r="C2156" s="1" t="str">
        <f>"00155"</f>
        <v>00155</v>
      </c>
      <c r="D2156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156" s="1" t="str">
        <f>"03193413"</f>
        <v>03193413</v>
      </c>
      <c r="F215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156" s="1" t="str">
        <f t="shared" si="294"/>
        <v>Фізична особа</v>
      </c>
      <c r="H2156" s="1" t="s">
        <v>20</v>
      </c>
      <c r="I2156" s="1" t="s">
        <v>20</v>
      </c>
      <c r="J2156" s="1" t="str">
        <f t="shared" ref="J2156:J2187" si="297">"Закрито"</f>
        <v>Закрито</v>
      </c>
      <c r="K2156" s="5">
        <v>45656</v>
      </c>
      <c r="L2156" s="1" t="s">
        <v>20</v>
      </c>
      <c r="M2156" s="1" t="s">
        <v>22</v>
      </c>
      <c r="N2156" s="5">
        <v>45657</v>
      </c>
    </row>
    <row r="2157" spans="1:14" x14ac:dyDescent="0.3">
      <c r="A2157" s="1" t="str">
        <f>"8_80/2129-11/2024/С"</f>
        <v>8_80/2129-11/2024/С</v>
      </c>
      <c r="B2157" s="6">
        <v>45616</v>
      </c>
      <c r="C2157" s="1" t="str">
        <f>"00033"</f>
        <v>00033</v>
      </c>
      <c r="D2157" s="2" t="str">
        <f>"Державна реєстрація смерті"</f>
        <v>Державна реєстрація смерті</v>
      </c>
      <c r="E2157" s="1" t="s">
        <v>20</v>
      </c>
      <c r="F2157" s="1" t="str">
        <f t="shared" ref="F2157:F2162" si="298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57" s="1" t="str">
        <f t="shared" si="294"/>
        <v>Фізична особа</v>
      </c>
      <c r="H2157" s="1" t="s">
        <v>20</v>
      </c>
      <c r="I2157" s="1" t="s">
        <v>20</v>
      </c>
      <c r="J2157" s="1" t="str">
        <f t="shared" si="297"/>
        <v>Закрито</v>
      </c>
      <c r="K2157" s="5">
        <v>45616</v>
      </c>
      <c r="L2157" s="1" t="s">
        <v>20</v>
      </c>
      <c r="M2157" s="1" t="s">
        <v>22</v>
      </c>
      <c r="N2157" s="5">
        <v>45616</v>
      </c>
    </row>
    <row r="2158" spans="1:14" x14ac:dyDescent="0.3">
      <c r="A2158" s="1" t="str">
        <f>"1_5944/2129-11/2024/С"</f>
        <v>1_5944/2129-11/2024/С</v>
      </c>
      <c r="B2158" s="6">
        <v>45616</v>
      </c>
      <c r="C2158" s="1" t="str">
        <f>"00037"</f>
        <v>00037</v>
      </c>
      <c r="D2158" s="2" t="str">
        <f>"Зняття з реєстрації місця проживання"</f>
        <v>Зняття з реєстрації місця проживання</v>
      </c>
      <c r="E2158" s="1" t="s">
        <v>20</v>
      </c>
      <c r="F2158" s="1" t="str">
        <f t="shared" si="298"/>
        <v>Центр надання адміністративних послуг Рогатинської міської ради</v>
      </c>
      <c r="G2158" s="1" t="str">
        <f t="shared" si="294"/>
        <v>Фізична особа</v>
      </c>
      <c r="H2158" s="1" t="s">
        <v>20</v>
      </c>
      <c r="I2158" s="1" t="s">
        <v>20</v>
      </c>
      <c r="J2158" s="1" t="str">
        <f t="shared" si="297"/>
        <v>Закрито</v>
      </c>
      <c r="K2158" s="5">
        <v>45616</v>
      </c>
      <c r="L2158" s="1" t="s">
        <v>20</v>
      </c>
      <c r="M2158" s="1" t="s">
        <v>22</v>
      </c>
      <c r="N2158" s="5">
        <v>45616</v>
      </c>
    </row>
    <row r="2159" spans="1:14" x14ac:dyDescent="0.3">
      <c r="A2159" s="1" t="str">
        <f>"1_5945/2129-11/2024/Ш"</f>
        <v>1_5945/2129-11/2024/Ш</v>
      </c>
      <c r="B2159" s="6">
        <v>45616</v>
      </c>
      <c r="C2159" s="1" t="str">
        <f>"01296"</f>
        <v>01296</v>
      </c>
      <c r="D2159" s="2" t="str">
        <f>"Видача довідки про проживання без реєстрації"</f>
        <v>Видача довідки про проживання без реєстрації</v>
      </c>
      <c r="E2159" s="1" t="s">
        <v>20</v>
      </c>
      <c r="F2159" s="1" t="str">
        <f t="shared" si="298"/>
        <v>Центр надання адміністративних послуг Рогатинської міської ради</v>
      </c>
      <c r="G2159" s="1" t="str">
        <f t="shared" si="294"/>
        <v>Фізична особа</v>
      </c>
      <c r="H2159" s="1" t="s">
        <v>20</v>
      </c>
      <c r="I2159" s="1" t="s">
        <v>20</v>
      </c>
      <c r="J2159" s="1" t="str">
        <f t="shared" si="297"/>
        <v>Закрито</v>
      </c>
      <c r="K2159" s="5">
        <v>45616</v>
      </c>
      <c r="L2159" s="1" t="s">
        <v>20</v>
      </c>
      <c r="M2159" s="1" t="s">
        <v>22</v>
      </c>
      <c r="N2159" s="5">
        <v>45616</v>
      </c>
    </row>
    <row r="2160" spans="1:14" x14ac:dyDescent="0.3">
      <c r="A2160" s="1" t="str">
        <f>"24_346-11/2024/Б"</f>
        <v>24_346-11/2024/Б</v>
      </c>
      <c r="B2160" s="6">
        <v>45616</v>
      </c>
      <c r="C2160" s="1" t="str">
        <f>"00038"</f>
        <v>00038</v>
      </c>
      <c r="D216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60" s="1" t="s">
        <v>20</v>
      </c>
      <c r="F2160" s="1" t="str">
        <f t="shared" si="298"/>
        <v>Центр надання адміністративних послуг Рогатинської міської ради</v>
      </c>
      <c r="G2160" s="1" t="str">
        <f t="shared" si="294"/>
        <v>Фізична особа</v>
      </c>
      <c r="H2160" s="1" t="s">
        <v>20</v>
      </c>
      <c r="I2160" s="1" t="s">
        <v>20</v>
      </c>
      <c r="J2160" s="1" t="str">
        <f t="shared" si="297"/>
        <v>Закрито</v>
      </c>
      <c r="K2160" s="5">
        <v>45616</v>
      </c>
      <c r="L2160" s="1" t="s">
        <v>20</v>
      </c>
      <c r="M2160" s="1" t="s">
        <v>22</v>
      </c>
      <c r="N2160" s="5">
        <v>45616</v>
      </c>
    </row>
    <row r="2161" spans="1:14" x14ac:dyDescent="0.3">
      <c r="A2161" s="1" t="str">
        <f>"1_5946/2129-11/2024/К"</f>
        <v>1_5946/2129-11/2024/К</v>
      </c>
      <c r="B2161" s="6">
        <v>45616</v>
      </c>
      <c r="C2161" s="1" t="str">
        <f>"00038"</f>
        <v>00038</v>
      </c>
      <c r="D216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61" s="1" t="s">
        <v>20</v>
      </c>
      <c r="F2161" s="1" t="str">
        <f t="shared" si="298"/>
        <v>Центр надання адміністративних послуг Рогатинської міської ради</v>
      </c>
      <c r="G2161" s="1" t="str">
        <f t="shared" si="294"/>
        <v>Фізична особа</v>
      </c>
      <c r="H2161" s="1" t="s">
        <v>20</v>
      </c>
      <c r="I2161" s="1" t="s">
        <v>20</v>
      </c>
      <c r="J2161" s="1" t="str">
        <f t="shared" si="297"/>
        <v>Закрито</v>
      </c>
      <c r="K2161" s="5">
        <v>45616</v>
      </c>
      <c r="L2161" s="1" t="s">
        <v>20</v>
      </c>
      <c r="M2161" s="1" t="s">
        <v>22</v>
      </c>
      <c r="N2161" s="5">
        <v>45616</v>
      </c>
    </row>
    <row r="2162" spans="1:14" x14ac:dyDescent="0.3">
      <c r="A2162" s="1" t="str">
        <f>"5_494-11/2024/Г"</f>
        <v>5_494-11/2024/Г</v>
      </c>
      <c r="B2162" s="6">
        <v>45616</v>
      </c>
      <c r="C2162" s="1" t="str">
        <f>"00038"</f>
        <v>00038</v>
      </c>
      <c r="D216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62" s="1" t="s">
        <v>20</v>
      </c>
      <c r="F2162" s="1" t="str">
        <f t="shared" si="298"/>
        <v>Центр надання адміністративних послуг Рогатинської міської ради</v>
      </c>
      <c r="G2162" s="1" t="str">
        <f t="shared" si="294"/>
        <v>Фізична особа</v>
      </c>
      <c r="H2162" s="1" t="s">
        <v>20</v>
      </c>
      <c r="I2162" s="1" t="s">
        <v>20</v>
      </c>
      <c r="J2162" s="1" t="str">
        <f t="shared" si="297"/>
        <v>Закрито</v>
      </c>
      <c r="K2162" s="5">
        <v>45616</v>
      </c>
      <c r="L2162" s="1" t="s">
        <v>20</v>
      </c>
      <c r="M2162" s="1" t="s">
        <v>22</v>
      </c>
      <c r="N2162" s="5">
        <v>45616</v>
      </c>
    </row>
    <row r="2163" spans="1:14" x14ac:dyDescent="0.3">
      <c r="A2163" s="1" t="str">
        <f>"3_1382/4-11/2024/М"</f>
        <v>3_1382/4-11/2024/М</v>
      </c>
      <c r="B2163" s="6">
        <v>45616</v>
      </c>
      <c r="C2163" s="1" t="str">
        <f>"00060"</f>
        <v>00060</v>
      </c>
      <c r="D2163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63" s="1" t="s">
        <v>20</v>
      </c>
      <c r="F2163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163" s="1" t="str">
        <f t="shared" si="294"/>
        <v>Фізична особа</v>
      </c>
      <c r="H2163" s="1" t="s">
        <v>20</v>
      </c>
      <c r="I2163" s="1" t="s">
        <v>20</v>
      </c>
      <c r="J2163" s="1" t="str">
        <f t="shared" si="297"/>
        <v>Закрито</v>
      </c>
      <c r="K2163" s="5">
        <v>45616</v>
      </c>
      <c r="L2163" s="1" t="str">
        <f>"151.4"</f>
        <v>151.4</v>
      </c>
      <c r="M2163" s="1" t="s">
        <v>22</v>
      </c>
      <c r="N2163" s="5">
        <v>45616</v>
      </c>
    </row>
    <row r="2164" spans="1:14" x14ac:dyDescent="0.3">
      <c r="A2164" s="1" t="str">
        <f>"1_5947/2129-11/2024/К"</f>
        <v>1_5947/2129-11/2024/К</v>
      </c>
      <c r="B2164" s="6">
        <v>45616</v>
      </c>
      <c r="C2164" s="1" t="str">
        <f>"00038"</f>
        <v>00038</v>
      </c>
      <c r="D216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64" s="1" t="s">
        <v>20</v>
      </c>
      <c r="F21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64" s="1" t="str">
        <f t="shared" si="294"/>
        <v>Фізична особа</v>
      </c>
      <c r="H2164" s="1" t="s">
        <v>20</v>
      </c>
      <c r="I2164" s="1" t="s">
        <v>20</v>
      </c>
      <c r="J2164" s="1" t="str">
        <f t="shared" si="297"/>
        <v>Закрито</v>
      </c>
      <c r="K2164" s="5">
        <v>45616</v>
      </c>
      <c r="L2164" s="1" t="s">
        <v>20</v>
      </c>
      <c r="M2164" s="1" t="s">
        <v>22</v>
      </c>
      <c r="N2164" s="5">
        <v>45616</v>
      </c>
    </row>
    <row r="2165" spans="1:14" x14ac:dyDescent="0.3">
      <c r="A2165" s="1" t="str">
        <f>"3_1383/4-11/2024/Д"</f>
        <v>3_1383/4-11/2024/Д</v>
      </c>
      <c r="B2165" s="6">
        <v>45616</v>
      </c>
      <c r="C2165" s="1" t="str">
        <f>"00060"</f>
        <v>00060</v>
      </c>
      <c r="D2165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65" s="1" t="s">
        <v>20</v>
      </c>
      <c r="F2165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165" s="1" t="str">
        <f t="shared" si="294"/>
        <v>Фізична особа</v>
      </c>
      <c r="H2165" s="1" t="s">
        <v>20</v>
      </c>
      <c r="I2165" s="1" t="s">
        <v>20</v>
      </c>
      <c r="J2165" s="1" t="str">
        <f t="shared" si="297"/>
        <v>Закрито</v>
      </c>
      <c r="K2165" s="5">
        <v>45616</v>
      </c>
      <c r="L2165" s="1" t="str">
        <f>"151.4"</f>
        <v>151.4</v>
      </c>
      <c r="M2165" s="1" t="s">
        <v>22</v>
      </c>
      <c r="N2165" s="5">
        <v>45616</v>
      </c>
    </row>
    <row r="2166" spans="1:14" x14ac:dyDescent="0.3">
      <c r="A2166" s="1" t="str">
        <f>"5_495-11/2024/Г"</f>
        <v>5_495-11/2024/Г</v>
      </c>
      <c r="B2166" s="6">
        <v>45616</v>
      </c>
      <c r="C2166" s="1" t="str">
        <f>"00034"</f>
        <v>00034</v>
      </c>
      <c r="D2166" s="2" t="str">
        <f>"Реєстрація місця проживання"</f>
        <v>Реєстрація місця проживання</v>
      </c>
      <c r="E2166" s="1" t="s">
        <v>20</v>
      </c>
      <c r="F216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66" s="1" t="str">
        <f t="shared" si="294"/>
        <v>Фізична особа</v>
      </c>
      <c r="H2166" s="1" t="s">
        <v>20</v>
      </c>
      <c r="I2166" s="1" t="s">
        <v>20</v>
      </c>
      <c r="J2166" s="1" t="str">
        <f t="shared" si="297"/>
        <v>Закрито</v>
      </c>
      <c r="K2166" s="5">
        <v>45616</v>
      </c>
      <c r="L2166" s="1" t="str">
        <f>"45.42"</f>
        <v>45.42</v>
      </c>
      <c r="M2166" s="1" t="s">
        <v>22</v>
      </c>
      <c r="N2166" s="5">
        <v>45616</v>
      </c>
    </row>
    <row r="2167" spans="1:14" x14ac:dyDescent="0.3">
      <c r="A2167" s="1" t="str">
        <f>"1_5948/2129-11/2024/К"</f>
        <v>1_5948/2129-11/2024/К</v>
      </c>
      <c r="B2167" s="6">
        <v>45616</v>
      </c>
      <c r="C2167" s="1" t="str">
        <f>"00038"</f>
        <v>00038</v>
      </c>
      <c r="D216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67" s="1" t="s">
        <v>20</v>
      </c>
      <c r="F216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67" s="1" t="str">
        <f t="shared" si="294"/>
        <v>Фізична особа</v>
      </c>
      <c r="H2167" s="1" t="s">
        <v>20</v>
      </c>
      <c r="I2167" s="1" t="s">
        <v>20</v>
      </c>
      <c r="J2167" s="1" t="str">
        <f t="shared" si="297"/>
        <v>Закрито</v>
      </c>
      <c r="K2167" s="5">
        <v>45616</v>
      </c>
      <c r="L2167" s="1" t="s">
        <v>20</v>
      </c>
      <c r="M2167" s="1" t="s">
        <v>22</v>
      </c>
      <c r="N2167" s="5">
        <v>45616</v>
      </c>
    </row>
    <row r="2168" spans="1:14" x14ac:dyDescent="0.3">
      <c r="A2168" s="1" t="str">
        <f>"3_1384/4-11/2024/Д"</f>
        <v>3_1384/4-11/2024/Д</v>
      </c>
      <c r="B2168" s="6">
        <v>45616</v>
      </c>
      <c r="C2168" s="1" t="str">
        <f>"00060"</f>
        <v>00060</v>
      </c>
      <c r="D2168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68" s="1" t="s">
        <v>20</v>
      </c>
      <c r="F2168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168" s="1" t="str">
        <f t="shared" si="294"/>
        <v>Фізична особа</v>
      </c>
      <c r="H2168" s="1" t="s">
        <v>20</v>
      </c>
      <c r="I2168" s="1" t="s">
        <v>20</v>
      </c>
      <c r="J2168" s="1" t="str">
        <f t="shared" si="297"/>
        <v>Закрито</v>
      </c>
      <c r="K2168" s="5">
        <v>45616</v>
      </c>
      <c r="L2168" s="1" t="str">
        <f>"151.4"</f>
        <v>151.4</v>
      </c>
      <c r="M2168" s="1" t="s">
        <v>22</v>
      </c>
      <c r="N2168" s="5">
        <v>45616</v>
      </c>
    </row>
    <row r="2169" spans="1:14" x14ac:dyDescent="0.3">
      <c r="A2169" s="1" t="str">
        <f>"2_2027/2129-11/2024/С"</f>
        <v>2_2027/2129-11/2024/С</v>
      </c>
      <c r="B2169" s="6">
        <v>45616</v>
      </c>
      <c r="C2169" s="1" t="str">
        <f>"00047"</f>
        <v>00047</v>
      </c>
      <c r="D2169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2169" s="1" t="s">
        <v>20</v>
      </c>
      <c r="F2169" s="1" t="str">
        <f t="shared" ref="F2169:F2190" si="299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69" s="1" t="str">
        <f t="shared" si="294"/>
        <v>Фізична особа</v>
      </c>
      <c r="H2169" s="1" t="s">
        <v>20</v>
      </c>
      <c r="I2169" s="1" t="s">
        <v>20</v>
      </c>
      <c r="J2169" s="1" t="str">
        <f t="shared" si="297"/>
        <v>Закрито</v>
      </c>
      <c r="K2169" s="5">
        <v>45621</v>
      </c>
      <c r="L2169" s="1" t="s">
        <v>20</v>
      </c>
      <c r="M2169" s="1" t="s">
        <v>22</v>
      </c>
      <c r="N2169" s="5">
        <v>45621</v>
      </c>
    </row>
    <row r="2170" spans="1:14" x14ac:dyDescent="0.3">
      <c r="A2170" s="1" t="str">
        <f>"1_5949/2129-11/2024/К"</f>
        <v>1_5949/2129-11/2024/К</v>
      </c>
      <c r="B2170" s="6">
        <v>45616</v>
      </c>
      <c r="C2170" s="1" t="str">
        <f>"00038"</f>
        <v>00038</v>
      </c>
      <c r="D217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70" s="1" t="s">
        <v>20</v>
      </c>
      <c r="F2170" s="1" t="str">
        <f t="shared" si="299"/>
        <v>Центр надання адміністративних послуг Рогатинської міської ради</v>
      </c>
      <c r="G2170" s="1" t="str">
        <f t="shared" si="294"/>
        <v>Фізична особа</v>
      </c>
      <c r="H2170" s="1" t="s">
        <v>20</v>
      </c>
      <c r="I2170" s="1" t="s">
        <v>20</v>
      </c>
      <c r="J2170" s="1" t="str">
        <f t="shared" si="297"/>
        <v>Закрито</v>
      </c>
      <c r="K2170" s="5">
        <v>45616</v>
      </c>
      <c r="L2170" s="1" t="s">
        <v>20</v>
      </c>
      <c r="M2170" s="1" t="s">
        <v>22</v>
      </c>
      <c r="N2170" s="5">
        <v>45616</v>
      </c>
    </row>
    <row r="2171" spans="1:14" x14ac:dyDescent="0.3">
      <c r="A2171" s="1" t="str">
        <f>"2_2028/2129-11/2024/С"</f>
        <v>2_2028/2129-11/2024/С</v>
      </c>
      <c r="B2171" s="6">
        <v>45616</v>
      </c>
      <c r="C2171" s="1" t="str">
        <f>"00047"</f>
        <v>00047</v>
      </c>
      <c r="D2171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2171" s="1" t="s">
        <v>20</v>
      </c>
      <c r="F2171" s="1" t="str">
        <f t="shared" si="299"/>
        <v>Центр надання адміністративних послуг Рогатинської міської ради</v>
      </c>
      <c r="G2171" s="1" t="str">
        <f t="shared" si="294"/>
        <v>Фізична особа</v>
      </c>
      <c r="H2171" s="1" t="s">
        <v>20</v>
      </c>
      <c r="I2171" s="1" t="s">
        <v>20</v>
      </c>
      <c r="J2171" s="1" t="str">
        <f t="shared" si="297"/>
        <v>Закрито</v>
      </c>
      <c r="K2171" s="5">
        <v>45621</v>
      </c>
      <c r="L2171" s="1" t="s">
        <v>20</v>
      </c>
      <c r="M2171" s="1" t="s">
        <v>22</v>
      </c>
      <c r="N2171" s="5">
        <v>45621</v>
      </c>
    </row>
    <row r="2172" spans="1:14" x14ac:dyDescent="0.3">
      <c r="A2172" s="1" t="str">
        <f>"14_1015-11/2024/Я"</f>
        <v>14_1015-11/2024/Я</v>
      </c>
      <c r="B2172" s="6">
        <v>45616</v>
      </c>
      <c r="C2172" s="1" t="str">
        <f>"33"</f>
        <v>33</v>
      </c>
      <c r="D2172" s="2" t="str">
        <f>"33 Довідки різного характеру"</f>
        <v>33 Довідки різного характеру</v>
      </c>
      <c r="E2172" s="1" t="s">
        <v>20</v>
      </c>
      <c r="F2172" s="1" t="str">
        <f t="shared" si="299"/>
        <v>Центр надання адміністративних послуг Рогатинської міської ради</v>
      </c>
      <c r="G2172" s="1" t="str">
        <f t="shared" si="294"/>
        <v>Фізична особа</v>
      </c>
      <c r="H2172" s="1" t="s">
        <v>20</v>
      </c>
      <c r="I2172" s="1" t="s">
        <v>20</v>
      </c>
      <c r="J2172" s="1" t="str">
        <f t="shared" si="297"/>
        <v>Закрито</v>
      </c>
      <c r="K2172" s="5">
        <v>45616</v>
      </c>
      <c r="L2172" s="1" t="s">
        <v>20</v>
      </c>
      <c r="M2172" s="1" t="s">
        <v>22</v>
      </c>
      <c r="N2172" s="5">
        <v>45616</v>
      </c>
    </row>
    <row r="2173" spans="1:14" x14ac:dyDescent="0.3">
      <c r="A2173" s="1" t="str">
        <f>"1_5950/2129-11/2024/І"</f>
        <v>1_5950/2129-11/2024/І</v>
      </c>
      <c r="B2173" s="6">
        <v>45616</v>
      </c>
      <c r="C2173" s="1" t="str">
        <f>"00038"</f>
        <v>00038</v>
      </c>
      <c r="D217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73" s="1" t="s">
        <v>20</v>
      </c>
      <c r="F2173" s="1" t="str">
        <f t="shared" si="299"/>
        <v>Центр надання адміністративних послуг Рогатинської міської ради</v>
      </c>
      <c r="G2173" s="1" t="str">
        <f t="shared" si="294"/>
        <v>Фізична особа</v>
      </c>
      <c r="H2173" s="1" t="s">
        <v>20</v>
      </c>
      <c r="I2173" s="1" t="s">
        <v>20</v>
      </c>
      <c r="J2173" s="1" t="str">
        <f t="shared" si="297"/>
        <v>Закрито</v>
      </c>
      <c r="K2173" s="5">
        <v>45616</v>
      </c>
      <c r="L2173" s="1" t="s">
        <v>20</v>
      </c>
      <c r="M2173" s="1" t="s">
        <v>22</v>
      </c>
      <c r="N2173" s="5">
        <v>45616</v>
      </c>
    </row>
    <row r="2174" spans="1:14" x14ac:dyDescent="0.3">
      <c r="A2174" s="1" t="str">
        <f>"2_2029/2129-11/2024/А"</f>
        <v>2_2029/2129-11/2024/А</v>
      </c>
      <c r="B2174" s="6">
        <v>45616</v>
      </c>
      <c r="C2174" s="1" t="str">
        <f>"00042"</f>
        <v>00042</v>
      </c>
      <c r="D2174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174" s="1" t="s">
        <v>20</v>
      </c>
      <c r="F2174" s="1" t="str">
        <f t="shared" si="299"/>
        <v>Центр надання адміністративних послуг Рогатинської міської ради</v>
      </c>
      <c r="G2174" s="1" t="str">
        <f t="shared" ref="G2174:G2190" si="300">"Фізична особа"</f>
        <v>Фізична особа</v>
      </c>
      <c r="H2174" s="1" t="s">
        <v>20</v>
      </c>
      <c r="I2174" s="1" t="s">
        <v>20</v>
      </c>
      <c r="J2174" s="1" t="str">
        <f t="shared" si="297"/>
        <v>Закрито</v>
      </c>
      <c r="K2174" s="5">
        <v>45621</v>
      </c>
      <c r="L2174" s="1" t="s">
        <v>20</v>
      </c>
      <c r="M2174" s="1" t="s">
        <v>22</v>
      </c>
      <c r="N2174" s="5">
        <v>45621</v>
      </c>
    </row>
    <row r="2175" spans="1:14" x14ac:dyDescent="0.3">
      <c r="A2175" s="1" t="str">
        <f>"2_2030/2129-11/2024/Б"</f>
        <v>2_2030/2129-11/2024/Б</v>
      </c>
      <c r="B2175" s="6">
        <v>45616</v>
      </c>
      <c r="C2175" s="1" t="str">
        <f>"00041"</f>
        <v>00041</v>
      </c>
      <c r="D217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175" s="1" t="s">
        <v>20</v>
      </c>
      <c r="F2175" s="1" t="str">
        <f t="shared" si="299"/>
        <v>Центр надання адміністративних послуг Рогатинської міської ради</v>
      </c>
      <c r="G2175" s="1" t="str">
        <f t="shared" si="300"/>
        <v>Фізична особа</v>
      </c>
      <c r="H2175" s="1" t="s">
        <v>20</v>
      </c>
      <c r="I2175" s="1" t="s">
        <v>20</v>
      </c>
      <c r="J2175" s="1" t="str">
        <f t="shared" si="297"/>
        <v>Закрито</v>
      </c>
      <c r="K2175" s="5">
        <v>45621</v>
      </c>
      <c r="L2175" s="1" t="s">
        <v>20</v>
      </c>
      <c r="M2175" s="1" t="s">
        <v>22</v>
      </c>
      <c r="N2175" s="5">
        <v>45621</v>
      </c>
    </row>
    <row r="2176" spans="1:14" x14ac:dyDescent="0.3">
      <c r="A2176" s="1" t="str">
        <f>"1_5951/2129-11/2024/Г"</f>
        <v>1_5951/2129-11/2024/Г</v>
      </c>
      <c r="B2176" s="6">
        <v>45616</v>
      </c>
      <c r="C2176" s="1" t="str">
        <f>"00038"</f>
        <v>00038</v>
      </c>
      <c r="D217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76" s="1" t="s">
        <v>20</v>
      </c>
      <c r="F2176" s="1" t="str">
        <f t="shared" si="299"/>
        <v>Центр надання адміністративних послуг Рогатинської міської ради</v>
      </c>
      <c r="G2176" s="1" t="str">
        <f t="shared" si="300"/>
        <v>Фізична особа</v>
      </c>
      <c r="H2176" s="1" t="s">
        <v>20</v>
      </c>
      <c r="I2176" s="1" t="s">
        <v>20</v>
      </c>
      <c r="J2176" s="1" t="str">
        <f t="shared" si="297"/>
        <v>Закрито</v>
      </c>
      <c r="K2176" s="5">
        <v>45616</v>
      </c>
      <c r="L2176" s="1" t="s">
        <v>20</v>
      </c>
      <c r="M2176" s="1" t="s">
        <v>22</v>
      </c>
      <c r="N2176" s="5">
        <v>45616</v>
      </c>
    </row>
    <row r="2177" spans="1:14" x14ac:dyDescent="0.3">
      <c r="A2177" s="1" t="str">
        <f>"14_1016-11/2024/М"</f>
        <v>14_1016-11/2024/М</v>
      </c>
      <c r="B2177" s="6">
        <v>45616</v>
      </c>
      <c r="C2177" s="1" t="str">
        <f>"00038"</f>
        <v>00038</v>
      </c>
      <c r="D217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77" s="1" t="s">
        <v>20</v>
      </c>
      <c r="F2177" s="1" t="str">
        <f t="shared" si="299"/>
        <v>Центр надання адміністративних послуг Рогатинської міської ради</v>
      </c>
      <c r="G2177" s="1" t="str">
        <f t="shared" si="300"/>
        <v>Фізична особа</v>
      </c>
      <c r="H2177" s="1" t="s">
        <v>20</v>
      </c>
      <c r="I2177" s="1" t="s">
        <v>20</v>
      </c>
      <c r="J2177" s="1" t="str">
        <f t="shared" si="297"/>
        <v>Закрито</v>
      </c>
      <c r="K2177" s="5">
        <v>45616</v>
      </c>
      <c r="L2177" s="1" t="s">
        <v>20</v>
      </c>
      <c r="M2177" s="1" t="s">
        <v>22</v>
      </c>
      <c r="N2177" s="5">
        <v>45616</v>
      </c>
    </row>
    <row r="2178" spans="1:14" x14ac:dyDescent="0.3">
      <c r="A2178" s="1" t="str">
        <f>"1_5952/2129-11/2024/Б"</f>
        <v>1_5952/2129-11/2024/Б</v>
      </c>
      <c r="B2178" s="6">
        <v>45616</v>
      </c>
      <c r="C2178" s="1" t="str">
        <f>"00038"</f>
        <v>00038</v>
      </c>
      <c r="D217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78" s="1" t="s">
        <v>20</v>
      </c>
      <c r="F2178" s="1" t="str">
        <f t="shared" si="299"/>
        <v>Центр надання адміністративних послуг Рогатинської міської ради</v>
      </c>
      <c r="G2178" s="1" t="str">
        <f t="shared" si="300"/>
        <v>Фізична особа</v>
      </c>
      <c r="H2178" s="1" t="s">
        <v>20</v>
      </c>
      <c r="I2178" s="1" t="s">
        <v>20</v>
      </c>
      <c r="J2178" s="1" t="str">
        <f t="shared" si="297"/>
        <v>Закрито</v>
      </c>
      <c r="K2178" s="5">
        <v>45616</v>
      </c>
      <c r="L2178" s="1" t="s">
        <v>20</v>
      </c>
      <c r="M2178" s="1" t="s">
        <v>22</v>
      </c>
      <c r="N2178" s="5">
        <v>45616</v>
      </c>
    </row>
    <row r="2179" spans="1:14" x14ac:dyDescent="0.3">
      <c r="A2179" s="1" t="str">
        <f>"2_2031/2129-11/2024/Б"</f>
        <v>2_2031/2129-11/2024/Б</v>
      </c>
      <c r="B2179" s="6">
        <v>45616</v>
      </c>
      <c r="C2179" s="1" t="str">
        <f>"00041"</f>
        <v>00041</v>
      </c>
      <c r="D217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179" s="1" t="s">
        <v>20</v>
      </c>
      <c r="F2179" s="1" t="str">
        <f t="shared" si="299"/>
        <v>Центр надання адміністративних послуг Рогатинської міської ради</v>
      </c>
      <c r="G2179" s="1" t="str">
        <f t="shared" si="300"/>
        <v>Фізична особа</v>
      </c>
      <c r="H2179" s="1" t="s">
        <v>20</v>
      </c>
      <c r="I2179" s="1" t="s">
        <v>20</v>
      </c>
      <c r="J2179" s="1" t="str">
        <f t="shared" si="297"/>
        <v>Закрито</v>
      </c>
      <c r="K2179" s="5">
        <v>45621</v>
      </c>
      <c r="L2179" s="1" t="s">
        <v>20</v>
      </c>
      <c r="M2179" s="1" t="s">
        <v>22</v>
      </c>
      <c r="N2179" s="5">
        <v>45621</v>
      </c>
    </row>
    <row r="2180" spans="1:14" x14ac:dyDescent="0.3">
      <c r="A2180" s="1" t="str">
        <f>"14_1017-11/2024/Б"</f>
        <v>14_1017-11/2024/Б</v>
      </c>
      <c r="B2180" s="6">
        <v>45616</v>
      </c>
      <c r="C2180" s="1" t="str">
        <f>"00038"</f>
        <v>00038</v>
      </c>
      <c r="D218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80" s="1" t="s">
        <v>20</v>
      </c>
      <c r="F2180" s="1" t="str">
        <f t="shared" si="299"/>
        <v>Центр надання адміністративних послуг Рогатинської міської ради</v>
      </c>
      <c r="G2180" s="1" t="str">
        <f t="shared" si="300"/>
        <v>Фізична особа</v>
      </c>
      <c r="H2180" s="1" t="s">
        <v>20</v>
      </c>
      <c r="I2180" s="1" t="s">
        <v>20</v>
      </c>
      <c r="J2180" s="1" t="str">
        <f t="shared" si="297"/>
        <v>Закрито</v>
      </c>
      <c r="K2180" s="5">
        <v>45616</v>
      </c>
      <c r="L2180" s="1" t="s">
        <v>20</v>
      </c>
      <c r="M2180" s="1" t="s">
        <v>22</v>
      </c>
      <c r="N2180" s="5">
        <v>45616</v>
      </c>
    </row>
    <row r="2181" spans="1:14" x14ac:dyDescent="0.3">
      <c r="A2181" s="1" t="str">
        <f>"1_5953/2129-11/2024/Б"</f>
        <v>1_5953/2129-11/2024/Б</v>
      </c>
      <c r="B2181" s="6">
        <v>45616</v>
      </c>
      <c r="C2181" s="1" t="str">
        <f>"00038"</f>
        <v>00038</v>
      </c>
      <c r="D218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81" s="1" t="s">
        <v>20</v>
      </c>
      <c r="F2181" s="1" t="str">
        <f t="shared" si="299"/>
        <v>Центр надання адміністративних послуг Рогатинської міської ради</v>
      </c>
      <c r="G2181" s="1" t="str">
        <f t="shared" si="300"/>
        <v>Фізична особа</v>
      </c>
      <c r="H2181" s="1" t="s">
        <v>20</v>
      </c>
      <c r="I2181" s="1" t="s">
        <v>20</v>
      </c>
      <c r="J2181" s="1" t="str">
        <f t="shared" si="297"/>
        <v>Закрито</v>
      </c>
      <c r="K2181" s="5">
        <v>45616</v>
      </c>
      <c r="L2181" s="1" t="s">
        <v>20</v>
      </c>
      <c r="M2181" s="1" t="s">
        <v>22</v>
      </c>
      <c r="N2181" s="5">
        <v>45616</v>
      </c>
    </row>
    <row r="2182" spans="1:14" x14ac:dyDescent="0.3">
      <c r="A2182" s="1" t="str">
        <f>"2_2032/2129-11/2024/Б"</f>
        <v>2_2032/2129-11/2024/Б</v>
      </c>
      <c r="B2182" s="6">
        <v>45616</v>
      </c>
      <c r="C2182" s="1" t="str">
        <f>"00041"</f>
        <v>00041</v>
      </c>
      <c r="D218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182" s="1" t="s">
        <v>20</v>
      </c>
      <c r="F2182" s="1" t="str">
        <f t="shared" si="299"/>
        <v>Центр надання адміністративних послуг Рогатинської міської ради</v>
      </c>
      <c r="G2182" s="1" t="str">
        <f t="shared" si="300"/>
        <v>Фізична особа</v>
      </c>
      <c r="H2182" s="1" t="s">
        <v>20</v>
      </c>
      <c r="I2182" s="1" t="s">
        <v>20</v>
      </c>
      <c r="J2182" s="1" t="str">
        <f t="shared" si="297"/>
        <v>Закрито</v>
      </c>
      <c r="K2182" s="5">
        <v>45621</v>
      </c>
      <c r="L2182" s="1" t="s">
        <v>20</v>
      </c>
      <c r="M2182" s="1" t="s">
        <v>22</v>
      </c>
      <c r="N2182" s="5">
        <v>45621</v>
      </c>
    </row>
    <row r="2183" spans="1:14" x14ac:dyDescent="0.3">
      <c r="A2183" s="1" t="str">
        <f>"1_5954/2129-11/2024/Ц"</f>
        <v>1_5954/2129-11/2024/Ц</v>
      </c>
      <c r="B2183" s="6">
        <v>45616</v>
      </c>
      <c r="C2183" s="1" t="str">
        <f>"00038"</f>
        <v>00038</v>
      </c>
      <c r="D218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83" s="1" t="s">
        <v>20</v>
      </c>
      <c r="F2183" s="1" t="str">
        <f t="shared" si="299"/>
        <v>Центр надання адміністративних послуг Рогатинської міської ради</v>
      </c>
      <c r="G2183" s="1" t="str">
        <f t="shared" si="300"/>
        <v>Фізична особа</v>
      </c>
      <c r="H2183" s="1" t="s">
        <v>20</v>
      </c>
      <c r="I2183" s="1" t="s">
        <v>20</v>
      </c>
      <c r="J2183" s="1" t="str">
        <f t="shared" si="297"/>
        <v>Закрито</v>
      </c>
      <c r="K2183" s="5">
        <v>45616</v>
      </c>
      <c r="L2183" s="1" t="s">
        <v>20</v>
      </c>
      <c r="M2183" s="1" t="s">
        <v>22</v>
      </c>
      <c r="N2183" s="5">
        <v>45616</v>
      </c>
    </row>
    <row r="2184" spans="1:14" x14ac:dyDescent="0.3">
      <c r="A2184" s="1" t="str">
        <f>"1_5955/2129-11/2024/Г"</f>
        <v>1_5955/2129-11/2024/Г</v>
      </c>
      <c r="B2184" s="6">
        <v>45616</v>
      </c>
      <c r="C2184" s="1" t="str">
        <f>"00038"</f>
        <v>00038</v>
      </c>
      <c r="D218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84" s="1" t="s">
        <v>20</v>
      </c>
      <c r="F2184" s="1" t="str">
        <f t="shared" si="299"/>
        <v>Центр надання адміністративних послуг Рогатинської міської ради</v>
      </c>
      <c r="G2184" s="1" t="str">
        <f t="shared" si="300"/>
        <v>Фізична особа</v>
      </c>
      <c r="H2184" s="1" t="s">
        <v>20</v>
      </c>
      <c r="I2184" s="1" t="s">
        <v>20</v>
      </c>
      <c r="J2184" s="1" t="str">
        <f t="shared" si="297"/>
        <v>Закрито</v>
      </c>
      <c r="K2184" s="5">
        <v>45616</v>
      </c>
      <c r="L2184" s="1" t="s">
        <v>20</v>
      </c>
      <c r="M2184" s="1" t="s">
        <v>22</v>
      </c>
      <c r="N2184" s="5">
        <v>45616</v>
      </c>
    </row>
    <row r="2185" spans="1:14" x14ac:dyDescent="0.3">
      <c r="A2185" s="1" t="str">
        <f>"1_5956/2129-11/2024/П"</f>
        <v>1_5956/2129-11/2024/П</v>
      </c>
      <c r="B2185" s="6">
        <v>45616</v>
      </c>
      <c r="C2185" s="1" t="str">
        <f>"00038"</f>
        <v>00038</v>
      </c>
      <c r="D218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85" s="1" t="s">
        <v>20</v>
      </c>
      <c r="F2185" s="1" t="str">
        <f t="shared" si="299"/>
        <v>Центр надання адміністративних послуг Рогатинської міської ради</v>
      </c>
      <c r="G2185" s="1" t="str">
        <f t="shared" si="300"/>
        <v>Фізична особа</v>
      </c>
      <c r="H2185" s="1" t="s">
        <v>20</v>
      </c>
      <c r="I2185" s="1" t="s">
        <v>20</v>
      </c>
      <c r="J2185" s="1" t="str">
        <f t="shared" si="297"/>
        <v>Закрито</v>
      </c>
      <c r="K2185" s="5">
        <v>45616</v>
      </c>
      <c r="L2185" s="1" t="s">
        <v>20</v>
      </c>
      <c r="M2185" s="1" t="s">
        <v>22</v>
      </c>
      <c r="N2185" s="5">
        <v>45616</v>
      </c>
    </row>
    <row r="2186" spans="1:14" x14ac:dyDescent="0.3">
      <c r="A2186" s="1" t="str">
        <f>"1_5957/2129-11/2024/Л"</f>
        <v>1_5957/2129-11/2024/Л</v>
      </c>
      <c r="B2186" s="6">
        <v>45616</v>
      </c>
      <c r="C2186" s="1" t="str">
        <f>"00038"</f>
        <v>00038</v>
      </c>
      <c r="D218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86" s="1" t="s">
        <v>20</v>
      </c>
      <c r="F2186" s="1" t="str">
        <f t="shared" si="299"/>
        <v>Центр надання адміністративних послуг Рогатинської міської ради</v>
      </c>
      <c r="G2186" s="1" t="str">
        <f t="shared" si="300"/>
        <v>Фізична особа</v>
      </c>
      <c r="H2186" s="1" t="s">
        <v>20</v>
      </c>
      <c r="I2186" s="1" t="s">
        <v>20</v>
      </c>
      <c r="J2186" s="1" t="str">
        <f t="shared" si="297"/>
        <v>Закрито</v>
      </c>
      <c r="K2186" s="5">
        <v>45616</v>
      </c>
      <c r="L2186" s="1" t="s">
        <v>20</v>
      </c>
      <c r="M2186" s="1" t="s">
        <v>22</v>
      </c>
      <c r="N2186" s="5">
        <v>45616</v>
      </c>
    </row>
    <row r="2187" spans="1:14" x14ac:dyDescent="0.3">
      <c r="A2187" s="1" t="str">
        <f>"1_5958/2129-11/2024/І"</f>
        <v>1_5958/2129-11/2024/І</v>
      </c>
      <c r="B2187" s="6">
        <v>45616</v>
      </c>
      <c r="C2187" s="1" t="str">
        <f>"00038"</f>
        <v>00038</v>
      </c>
      <c r="D218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87" s="1" t="s">
        <v>20</v>
      </c>
      <c r="F2187" s="1" t="str">
        <f t="shared" si="299"/>
        <v>Центр надання адміністративних послуг Рогатинської міської ради</v>
      </c>
      <c r="G2187" s="1" t="str">
        <f t="shared" si="300"/>
        <v>Фізична особа</v>
      </c>
      <c r="H2187" s="1" t="s">
        <v>20</v>
      </c>
      <c r="I2187" s="1" t="s">
        <v>20</v>
      </c>
      <c r="J2187" s="1" t="str">
        <f t="shared" si="297"/>
        <v>Закрито</v>
      </c>
      <c r="K2187" s="5">
        <v>45616</v>
      </c>
      <c r="L2187" s="1" t="s">
        <v>20</v>
      </c>
      <c r="M2187" s="1" t="s">
        <v>22</v>
      </c>
      <c r="N2187" s="5">
        <v>45616</v>
      </c>
    </row>
    <row r="2188" spans="1:14" x14ac:dyDescent="0.3">
      <c r="A2188" s="1" t="str">
        <f>"5_496-11/2024/Г"</f>
        <v>5_496-11/2024/Г</v>
      </c>
      <c r="B2188" s="6">
        <v>45616</v>
      </c>
      <c r="C2188" s="1" t="str">
        <f>"33"</f>
        <v>33</v>
      </c>
      <c r="D2188" s="2" t="str">
        <f>"33 Довідки різного характеру"</f>
        <v>33 Довідки різного характеру</v>
      </c>
      <c r="E2188" s="1" t="s">
        <v>20</v>
      </c>
      <c r="F2188" s="1" t="str">
        <f t="shared" si="299"/>
        <v>Центр надання адміністративних послуг Рогатинської міської ради</v>
      </c>
      <c r="G2188" s="1" t="str">
        <f t="shared" si="300"/>
        <v>Фізична особа</v>
      </c>
      <c r="H2188" s="1" t="s">
        <v>20</v>
      </c>
      <c r="I2188" s="1" t="s">
        <v>20</v>
      </c>
      <c r="J2188" s="1" t="str">
        <f t="shared" ref="J2188:J2211" si="301">"Закрито"</f>
        <v>Закрито</v>
      </c>
      <c r="K2188" s="5">
        <v>45616</v>
      </c>
      <c r="L2188" s="1" t="s">
        <v>20</v>
      </c>
      <c r="M2188" s="1" t="s">
        <v>22</v>
      </c>
      <c r="N2188" s="5">
        <v>45616</v>
      </c>
    </row>
    <row r="2189" spans="1:14" x14ac:dyDescent="0.3">
      <c r="A2189" s="1" t="str">
        <f>"1_5959/2129-11/2024/К"</f>
        <v>1_5959/2129-11/2024/К</v>
      </c>
      <c r="B2189" s="6">
        <v>45616</v>
      </c>
      <c r="C2189" s="1" t="str">
        <f>"00038"</f>
        <v>00038</v>
      </c>
      <c r="D218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89" s="1" t="s">
        <v>20</v>
      </c>
      <c r="F2189" s="1" t="str">
        <f t="shared" si="299"/>
        <v>Центр надання адміністративних послуг Рогатинської міської ради</v>
      </c>
      <c r="G2189" s="1" t="str">
        <f t="shared" si="300"/>
        <v>Фізична особа</v>
      </c>
      <c r="H2189" s="1" t="s">
        <v>20</v>
      </c>
      <c r="I2189" s="1" t="s">
        <v>20</v>
      </c>
      <c r="J2189" s="1" t="str">
        <f t="shared" si="301"/>
        <v>Закрито</v>
      </c>
      <c r="K2189" s="5">
        <v>45616</v>
      </c>
      <c r="L2189" s="1" t="s">
        <v>20</v>
      </c>
      <c r="M2189" s="1" t="s">
        <v>22</v>
      </c>
      <c r="N2189" s="5">
        <v>45616</v>
      </c>
    </row>
    <row r="2190" spans="1:14" x14ac:dyDescent="0.3">
      <c r="A2190" s="1" t="str">
        <f>"1_5960/2129-11/2024/Г"</f>
        <v>1_5960/2129-11/2024/Г</v>
      </c>
      <c r="B2190" s="6">
        <v>45616</v>
      </c>
      <c r="C2190" s="1" t="str">
        <f>"00038"</f>
        <v>00038</v>
      </c>
      <c r="D219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90" s="1" t="s">
        <v>20</v>
      </c>
      <c r="F2190" s="1" t="str">
        <f t="shared" si="299"/>
        <v>Центр надання адміністративних послуг Рогатинської міської ради</v>
      </c>
      <c r="G2190" s="1" t="str">
        <f t="shared" si="300"/>
        <v>Фізична особа</v>
      </c>
      <c r="H2190" s="1" t="s">
        <v>20</v>
      </c>
      <c r="I2190" s="1" t="s">
        <v>20</v>
      </c>
      <c r="J2190" s="1" t="str">
        <f t="shared" si="301"/>
        <v>Закрито</v>
      </c>
      <c r="K2190" s="5">
        <v>45616</v>
      </c>
      <c r="L2190" s="1" t="s">
        <v>20</v>
      </c>
      <c r="M2190" s="1" t="s">
        <v>22</v>
      </c>
      <c r="N2190" s="5">
        <v>45616</v>
      </c>
    </row>
    <row r="2191" spans="1:14" x14ac:dyDescent="0.3">
      <c r="A2191" s="1" t="str">
        <f>"3_1385/4-11/2024/Р"</f>
        <v>3_1385/4-11/2024/Р</v>
      </c>
      <c r="B2191" s="6">
        <v>45616</v>
      </c>
      <c r="C2191" s="1" t="str">
        <f>"00035"</f>
        <v>00035</v>
      </c>
      <c r="D2191" s="2" t="str">
        <f>"Надання відомостей з Державного земельного кадастру у формі витягу з Державного земельного кадастру про землі в межах території адміністративно-територіальних одиниць"</f>
        <v>Надання відомостей з Державного земельного кадастру у формі витягу з Державного земельного кадастру про землі в межах території адміністративно-територіальних одиниць</v>
      </c>
      <c r="E2191" s="1" t="s">
        <v>20</v>
      </c>
      <c r="F2191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191" s="1" t="str">
        <f>"Юридична особа"</f>
        <v>Юридична особа</v>
      </c>
      <c r="H2191" s="1" t="str">
        <f>"РОГАТИНСЬКА МІСЬКА РАДА"</f>
        <v>РОГАТИНСЬКА МІСЬКА РАДА</v>
      </c>
      <c r="I2191" s="1" t="str">
        <f>"04054323"</f>
        <v>04054323</v>
      </c>
      <c r="J2191" s="1" t="str">
        <f t="shared" si="301"/>
        <v>Закрито</v>
      </c>
      <c r="K2191" s="5">
        <v>45616</v>
      </c>
      <c r="L2191" s="1" t="s">
        <v>20</v>
      </c>
      <c r="M2191" s="1" t="s">
        <v>22</v>
      </c>
      <c r="N2191" s="5">
        <v>45616</v>
      </c>
    </row>
    <row r="2192" spans="1:14" x14ac:dyDescent="0.3">
      <c r="A2192" s="1" t="str">
        <f>"5_497-11/2024/Г"</f>
        <v>5_497-11/2024/Г</v>
      </c>
      <c r="B2192" s="6">
        <v>45616</v>
      </c>
      <c r="C2192" s="1" t="str">
        <f>"00038"</f>
        <v>00038</v>
      </c>
      <c r="D219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92" s="1" t="s">
        <v>20</v>
      </c>
      <c r="F219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92" s="1" t="str">
        <f>"Фізична особа"</f>
        <v>Фізична особа</v>
      </c>
      <c r="H2192" s="1" t="s">
        <v>20</v>
      </c>
      <c r="I2192" s="1" t="s">
        <v>20</v>
      </c>
      <c r="J2192" s="1" t="str">
        <f t="shared" si="301"/>
        <v>Закрито</v>
      </c>
      <c r="K2192" s="5">
        <v>45616</v>
      </c>
      <c r="L2192" s="1" t="s">
        <v>20</v>
      </c>
      <c r="M2192" s="1" t="s">
        <v>22</v>
      </c>
      <c r="N2192" s="5">
        <v>45616</v>
      </c>
    </row>
    <row r="2193" spans="1:14" x14ac:dyDescent="0.3">
      <c r="A2193" s="1" t="str">
        <f>"3_1386/4-11/2024/Р"</f>
        <v>3_1386/4-11/2024/Р</v>
      </c>
      <c r="B2193" s="6">
        <v>45616</v>
      </c>
      <c r="C2193" s="1" t="str">
        <f>"00060"</f>
        <v>00060</v>
      </c>
      <c r="D2193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93" s="1" t="s">
        <v>20</v>
      </c>
      <c r="F2193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193" s="1" t="str">
        <f>"Юридична особа"</f>
        <v>Юридична особа</v>
      </c>
      <c r="H2193" s="1" t="str">
        <f>"РОГАТИНСЬКА МІСЬКА РАДА"</f>
        <v>РОГАТИНСЬКА МІСЬКА РАДА</v>
      </c>
      <c r="I2193" s="1" t="str">
        <f>"04054323"</f>
        <v>04054323</v>
      </c>
      <c r="J2193" s="1" t="str">
        <f t="shared" si="301"/>
        <v>Закрито</v>
      </c>
      <c r="K2193" s="5">
        <v>45616</v>
      </c>
      <c r="L2193" s="1" t="s">
        <v>20</v>
      </c>
      <c r="M2193" s="1" t="s">
        <v>22</v>
      </c>
      <c r="N2193" s="5">
        <v>45616</v>
      </c>
    </row>
    <row r="2194" spans="1:14" x14ac:dyDescent="0.3">
      <c r="A2194" s="1" t="str">
        <f>"5_498-11/2024/Б"</f>
        <v>5_498-11/2024/Б</v>
      </c>
      <c r="B2194" s="6">
        <v>45616</v>
      </c>
      <c r="C2194" s="1" t="str">
        <f>"00038"</f>
        <v>00038</v>
      </c>
      <c r="D219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194" s="1" t="s">
        <v>20</v>
      </c>
      <c r="F21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194" s="1" t="str">
        <f>"Фізична особа"</f>
        <v>Фізична особа</v>
      </c>
      <c r="H2194" s="1" t="s">
        <v>20</v>
      </c>
      <c r="I2194" s="1" t="s">
        <v>20</v>
      </c>
      <c r="J2194" s="1" t="str">
        <f t="shared" si="301"/>
        <v>Закрито</v>
      </c>
      <c r="K2194" s="5">
        <v>45616</v>
      </c>
      <c r="L2194" s="1" t="s">
        <v>20</v>
      </c>
      <c r="M2194" s="1" t="s">
        <v>22</v>
      </c>
      <c r="N2194" s="5">
        <v>45616</v>
      </c>
    </row>
    <row r="2195" spans="1:14" x14ac:dyDescent="0.3">
      <c r="A2195" s="1" t="str">
        <f>"3_1387/4-11/2024/Р"</f>
        <v>3_1387/4-11/2024/Р</v>
      </c>
      <c r="B2195" s="6">
        <v>45616</v>
      </c>
      <c r="C2195" s="1" t="str">
        <f>"00060"</f>
        <v>00060</v>
      </c>
      <c r="D2195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95" s="1" t="s">
        <v>20</v>
      </c>
      <c r="F2195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195" s="1" t="str">
        <f>"Юридична особа"</f>
        <v>Юридична особа</v>
      </c>
      <c r="H2195" s="1" t="str">
        <f>"РОГАТИНСЬКА МІСЬКА РАДА"</f>
        <v>РОГАТИНСЬКА МІСЬКА РАДА</v>
      </c>
      <c r="I2195" s="1" t="str">
        <f>"04054323"</f>
        <v>04054323</v>
      </c>
      <c r="J2195" s="1" t="str">
        <f t="shared" si="301"/>
        <v>Закрито</v>
      </c>
      <c r="K2195" s="5">
        <v>45616</v>
      </c>
      <c r="L2195" s="1" t="s">
        <v>20</v>
      </c>
      <c r="M2195" s="1" t="s">
        <v>22</v>
      </c>
      <c r="N2195" s="5">
        <v>45616</v>
      </c>
    </row>
    <row r="2196" spans="1:14" x14ac:dyDescent="0.3">
      <c r="A2196" s="1" t="str">
        <f>"3_1388/4-11/2024/Р"</f>
        <v>3_1388/4-11/2024/Р</v>
      </c>
      <c r="B2196" s="6">
        <v>45616</v>
      </c>
      <c r="C2196" s="1" t="str">
        <f>"00060"</f>
        <v>00060</v>
      </c>
      <c r="D2196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96" s="1" t="s">
        <v>20</v>
      </c>
      <c r="F2196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196" s="1" t="str">
        <f>"Юридична особа"</f>
        <v>Юридична особа</v>
      </c>
      <c r="H2196" s="1" t="str">
        <f>"РОГАТИНСЬКА МІСЬКА РАДА"</f>
        <v>РОГАТИНСЬКА МІСЬКА РАДА</v>
      </c>
      <c r="I2196" s="1" t="str">
        <f>"04054323"</f>
        <v>04054323</v>
      </c>
      <c r="J2196" s="1" t="str">
        <f t="shared" si="301"/>
        <v>Закрито</v>
      </c>
      <c r="K2196" s="5">
        <v>45616</v>
      </c>
      <c r="L2196" s="1" t="s">
        <v>20</v>
      </c>
      <c r="M2196" s="1" t="s">
        <v>22</v>
      </c>
      <c r="N2196" s="5">
        <v>45616</v>
      </c>
    </row>
    <row r="2197" spans="1:14" x14ac:dyDescent="0.3">
      <c r="A2197" s="1" t="str">
        <f>"3_1389/4-11/2024/Р"</f>
        <v>3_1389/4-11/2024/Р</v>
      </c>
      <c r="B2197" s="6">
        <v>45616</v>
      </c>
      <c r="C2197" s="1" t="str">
        <f>"00060"</f>
        <v>00060</v>
      </c>
      <c r="D2197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97" s="1" t="s">
        <v>20</v>
      </c>
      <c r="F2197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197" s="1" t="str">
        <f>"Юридична особа"</f>
        <v>Юридична особа</v>
      </c>
      <c r="H2197" s="1" t="str">
        <f>"РОГАТИНСЬКА МІСЬКА РАДА"</f>
        <v>РОГАТИНСЬКА МІСЬКА РАДА</v>
      </c>
      <c r="I2197" s="1" t="str">
        <f>"04054323"</f>
        <v>04054323</v>
      </c>
      <c r="J2197" s="1" t="str">
        <f t="shared" si="301"/>
        <v>Закрито</v>
      </c>
      <c r="K2197" s="5">
        <v>45616</v>
      </c>
      <c r="L2197" s="1" t="s">
        <v>20</v>
      </c>
      <c r="M2197" s="1" t="s">
        <v>22</v>
      </c>
      <c r="N2197" s="5">
        <v>45616</v>
      </c>
    </row>
    <row r="2198" spans="1:14" x14ac:dyDescent="0.3">
      <c r="A2198" s="1" t="str">
        <f>"3_1390/4-11/2024/Р"</f>
        <v>3_1390/4-11/2024/Р</v>
      </c>
      <c r="B2198" s="6">
        <v>45616</v>
      </c>
      <c r="C2198" s="1" t="str">
        <f>"00060"</f>
        <v>00060</v>
      </c>
      <c r="D2198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98" s="1" t="s">
        <v>20</v>
      </c>
      <c r="F2198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198" s="1" t="str">
        <f>"Юридична особа"</f>
        <v>Юридична особа</v>
      </c>
      <c r="H2198" s="1" t="str">
        <f>"РОГАТИНСЬКА МІСЬКА РАДА"</f>
        <v>РОГАТИНСЬКА МІСЬКА РАДА</v>
      </c>
      <c r="I2198" s="1" t="str">
        <f>"04054323"</f>
        <v>04054323</v>
      </c>
      <c r="J2198" s="1" t="str">
        <f t="shared" si="301"/>
        <v>Закрито</v>
      </c>
      <c r="K2198" s="5">
        <v>45616</v>
      </c>
      <c r="L2198" s="1" t="s">
        <v>20</v>
      </c>
      <c r="M2198" s="1" t="s">
        <v>22</v>
      </c>
      <c r="N2198" s="5">
        <v>45616</v>
      </c>
    </row>
    <row r="2199" spans="1:14" x14ac:dyDescent="0.3">
      <c r="A2199" s="1" t="str">
        <f>"3_1391/4-11/2024/Р"</f>
        <v>3_1391/4-11/2024/Р</v>
      </c>
      <c r="B2199" s="6">
        <v>45616</v>
      </c>
      <c r="C2199" s="1" t="str">
        <f>"00060"</f>
        <v>00060</v>
      </c>
      <c r="D2199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99" s="1" t="s">
        <v>20</v>
      </c>
      <c r="F2199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199" s="1" t="str">
        <f>"Юридична особа"</f>
        <v>Юридична особа</v>
      </c>
      <c r="H2199" s="1" t="str">
        <f>"РОГАТИНСЬКА МІСЬКА РАДА"</f>
        <v>РОГАТИНСЬКА МІСЬКА РАДА</v>
      </c>
      <c r="I2199" s="1" t="str">
        <f>"04054323"</f>
        <v>04054323</v>
      </c>
      <c r="J2199" s="1" t="str">
        <f t="shared" si="301"/>
        <v>Закрито</v>
      </c>
      <c r="K2199" s="5">
        <v>45616</v>
      </c>
      <c r="L2199" s="1" t="s">
        <v>20</v>
      </c>
      <c r="M2199" s="1" t="s">
        <v>22</v>
      </c>
      <c r="N2199" s="5">
        <v>45616</v>
      </c>
    </row>
    <row r="2200" spans="1:14" x14ac:dyDescent="0.3">
      <c r="A2200" s="1" t="str">
        <f>"2_2033/2129-11/2024/Л"</f>
        <v>2_2033/2129-11/2024/Л</v>
      </c>
      <c r="B2200" s="6">
        <v>45616</v>
      </c>
      <c r="C2200" s="1" t="str">
        <f>"00042"</f>
        <v>00042</v>
      </c>
      <c r="D2200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200" s="1" t="s">
        <v>20</v>
      </c>
      <c r="F220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00" s="1" t="str">
        <f>"Фізична особа"</f>
        <v>Фізична особа</v>
      </c>
      <c r="H2200" s="1" t="s">
        <v>20</v>
      </c>
      <c r="I2200" s="1" t="s">
        <v>20</v>
      </c>
      <c r="J2200" s="1" t="str">
        <f t="shared" si="301"/>
        <v>Закрито</v>
      </c>
      <c r="K2200" s="5">
        <v>45621</v>
      </c>
      <c r="L2200" s="1" t="s">
        <v>20</v>
      </c>
      <c r="M2200" s="1" t="s">
        <v>22</v>
      </c>
      <c r="N2200" s="5">
        <v>45621</v>
      </c>
    </row>
    <row r="2201" spans="1:14" x14ac:dyDescent="0.3">
      <c r="A2201" s="1" t="str">
        <f>"3_1392/4-11/2024/Р"</f>
        <v>3_1392/4-11/2024/Р</v>
      </c>
      <c r="B2201" s="6">
        <v>45616</v>
      </c>
      <c r="C2201" s="1" t="str">
        <f>"00060"</f>
        <v>00060</v>
      </c>
      <c r="D2201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01" s="1" t="s">
        <v>20</v>
      </c>
      <c r="F2201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01" s="1" t="str">
        <f>"Юридична особа"</f>
        <v>Юридична особа</v>
      </c>
      <c r="H2201" s="1" t="str">
        <f>"РОГАТИНСЬКА МІСЬКА РАДА"</f>
        <v>РОГАТИНСЬКА МІСЬКА РАДА</v>
      </c>
      <c r="I2201" s="1" t="str">
        <f>"04054323"</f>
        <v>04054323</v>
      </c>
      <c r="J2201" s="1" t="str">
        <f t="shared" si="301"/>
        <v>Закрито</v>
      </c>
      <c r="K2201" s="5">
        <v>45616</v>
      </c>
      <c r="L2201" s="1" t="s">
        <v>20</v>
      </c>
      <c r="M2201" s="1" t="s">
        <v>22</v>
      </c>
      <c r="N2201" s="5">
        <v>45616</v>
      </c>
    </row>
    <row r="2202" spans="1:14" x14ac:dyDescent="0.3">
      <c r="A2202" s="1" t="str">
        <f>"2_2034/2129-11/2024/Л"</f>
        <v>2_2034/2129-11/2024/Л</v>
      </c>
      <c r="B2202" s="6">
        <v>45616</v>
      </c>
      <c r="C2202" s="1" t="str">
        <f>"00042"</f>
        <v>00042</v>
      </c>
      <c r="D2202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202" s="1" t="s">
        <v>20</v>
      </c>
      <c r="F220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02" s="1" t="str">
        <f>"Фізична особа"</f>
        <v>Фізична особа</v>
      </c>
      <c r="H2202" s="1" t="s">
        <v>20</v>
      </c>
      <c r="I2202" s="1" t="s">
        <v>20</v>
      </c>
      <c r="J2202" s="1" t="str">
        <f t="shared" si="301"/>
        <v>Закрито</v>
      </c>
      <c r="K2202" s="5">
        <v>45621</v>
      </c>
      <c r="L2202" s="1" t="s">
        <v>20</v>
      </c>
      <c r="M2202" s="1" t="s">
        <v>22</v>
      </c>
      <c r="N2202" s="5">
        <v>45621</v>
      </c>
    </row>
    <row r="2203" spans="1:14" x14ac:dyDescent="0.3">
      <c r="A2203" s="1" t="str">
        <f>"3_1393/4-11/2024/Р"</f>
        <v>3_1393/4-11/2024/Р</v>
      </c>
      <c r="B2203" s="6">
        <v>45616</v>
      </c>
      <c r="C2203" s="1" t="str">
        <f>"00060"</f>
        <v>00060</v>
      </c>
      <c r="D2203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03" s="1" t="s">
        <v>20</v>
      </c>
      <c r="F2203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03" s="1" t="str">
        <f>"Юридична особа"</f>
        <v>Юридична особа</v>
      </c>
      <c r="H2203" s="1" t="str">
        <f>"РОГАТИНСЬКА МІСЬКА РАДА"</f>
        <v>РОГАТИНСЬКА МІСЬКА РАДА</v>
      </c>
      <c r="I2203" s="1" t="str">
        <f>"04054323"</f>
        <v>04054323</v>
      </c>
      <c r="J2203" s="1" t="str">
        <f t="shared" si="301"/>
        <v>Закрито</v>
      </c>
      <c r="K2203" s="5">
        <v>45616</v>
      </c>
      <c r="L2203" s="1" t="s">
        <v>20</v>
      </c>
      <c r="M2203" s="1" t="s">
        <v>22</v>
      </c>
      <c r="N2203" s="5">
        <v>45616</v>
      </c>
    </row>
    <row r="2204" spans="1:14" x14ac:dyDescent="0.3">
      <c r="A2204" s="1" t="str">
        <f>"3_1394/4-11/2024/Р"</f>
        <v>3_1394/4-11/2024/Р</v>
      </c>
      <c r="B2204" s="6">
        <v>45616</v>
      </c>
      <c r="C2204" s="1" t="str">
        <f>"00060"</f>
        <v>00060</v>
      </c>
      <c r="D2204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04" s="1" t="s">
        <v>20</v>
      </c>
      <c r="F2204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04" s="1" t="str">
        <f>"Юридична особа"</f>
        <v>Юридична особа</v>
      </c>
      <c r="H2204" s="1" t="str">
        <f>"РОГАТИНСЬКА МІСЬКА РАДА"</f>
        <v>РОГАТИНСЬКА МІСЬКА РАДА</v>
      </c>
      <c r="I2204" s="1" t="str">
        <f>"04054323"</f>
        <v>04054323</v>
      </c>
      <c r="J2204" s="1" t="str">
        <f t="shared" si="301"/>
        <v>Закрито</v>
      </c>
      <c r="K2204" s="5">
        <v>45616</v>
      </c>
      <c r="L2204" s="1" t="s">
        <v>20</v>
      </c>
      <c r="M2204" s="1" t="s">
        <v>22</v>
      </c>
      <c r="N2204" s="5">
        <v>45616</v>
      </c>
    </row>
    <row r="2205" spans="1:14" x14ac:dyDescent="0.3">
      <c r="A2205" s="1" t="str">
        <f>"12_895-11/2024/Т"</f>
        <v>12_895-11/2024/Т</v>
      </c>
      <c r="B2205" s="6">
        <v>45616</v>
      </c>
      <c r="C2205" s="1" t="str">
        <f>"00038"</f>
        <v>00038</v>
      </c>
      <c r="D220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05" s="1" t="s">
        <v>20</v>
      </c>
      <c r="F220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05" s="1" t="str">
        <f>"Фізична особа"</f>
        <v>Фізична особа</v>
      </c>
      <c r="H2205" s="1" t="s">
        <v>20</v>
      </c>
      <c r="I2205" s="1" t="s">
        <v>20</v>
      </c>
      <c r="J2205" s="1" t="str">
        <f t="shared" si="301"/>
        <v>Закрито</v>
      </c>
      <c r="K2205" s="5">
        <v>45616</v>
      </c>
      <c r="L2205" s="1" t="s">
        <v>20</v>
      </c>
      <c r="M2205" s="1" t="s">
        <v>22</v>
      </c>
      <c r="N2205" s="5">
        <v>45616</v>
      </c>
    </row>
    <row r="2206" spans="1:14" x14ac:dyDescent="0.3">
      <c r="A2206" s="1" t="str">
        <f>"12_896-11/2024/Т"</f>
        <v>12_896-11/2024/Т</v>
      </c>
      <c r="B2206" s="6">
        <v>45616</v>
      </c>
      <c r="C2206" s="1" t="str">
        <f>"00155"</f>
        <v>00155</v>
      </c>
      <c r="D2206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206" s="1" t="str">
        <f>"03193413"</f>
        <v>03193413</v>
      </c>
      <c r="F220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206" s="1" t="str">
        <f>"Фізична особа"</f>
        <v>Фізична особа</v>
      </c>
      <c r="H2206" s="1" t="s">
        <v>20</v>
      </c>
      <c r="I2206" s="1" t="s">
        <v>20</v>
      </c>
      <c r="J2206" s="1" t="str">
        <f t="shared" si="301"/>
        <v>Закрито</v>
      </c>
      <c r="K2206" s="5">
        <v>45653</v>
      </c>
      <c r="L2206" s="1" t="s">
        <v>20</v>
      </c>
      <c r="M2206" s="1" t="s">
        <v>22</v>
      </c>
      <c r="N2206" s="5">
        <v>45653</v>
      </c>
    </row>
    <row r="2207" spans="1:14" x14ac:dyDescent="0.3">
      <c r="A2207" s="1" t="str">
        <f>"24_347-11/2024/О"</f>
        <v>24_347-11/2024/О</v>
      </c>
      <c r="B2207" s="6">
        <v>45616</v>
      </c>
      <c r="C2207" s="1" t="str">
        <f>"33"</f>
        <v>33</v>
      </c>
      <c r="D2207" s="2" t="str">
        <f>"33 Довідки різного характеру"</f>
        <v>33 Довідки різного характеру</v>
      </c>
      <c r="E2207" s="1" t="s">
        <v>20</v>
      </c>
      <c r="F220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07" s="1" t="str">
        <f>"Фізична особа"</f>
        <v>Фізична особа</v>
      </c>
      <c r="H2207" s="1" t="s">
        <v>20</v>
      </c>
      <c r="I2207" s="1" t="s">
        <v>20</v>
      </c>
      <c r="J2207" s="1" t="str">
        <f t="shared" si="301"/>
        <v>Закрито</v>
      </c>
      <c r="K2207" s="5">
        <v>45616</v>
      </c>
      <c r="L2207" s="1" t="s">
        <v>20</v>
      </c>
      <c r="M2207" s="1" t="s">
        <v>22</v>
      </c>
      <c r="N2207" s="5">
        <v>45616</v>
      </c>
    </row>
    <row r="2208" spans="1:14" x14ac:dyDescent="0.3">
      <c r="A2208" s="1" t="str">
        <f>"12_897-11/2024/К"</f>
        <v>12_897-11/2024/К</v>
      </c>
      <c r="B2208" s="6">
        <v>45616</v>
      </c>
      <c r="C2208" s="1" t="str">
        <f>"00155"</f>
        <v>00155</v>
      </c>
      <c r="D2208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208" s="1" t="str">
        <f>"03193413"</f>
        <v>03193413</v>
      </c>
      <c r="F220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208" s="1" t="str">
        <f>"Фізична особа"</f>
        <v>Фізична особа</v>
      </c>
      <c r="H2208" s="1" t="s">
        <v>20</v>
      </c>
      <c r="I2208" s="1" t="s">
        <v>20</v>
      </c>
      <c r="J2208" s="1" t="str">
        <f t="shared" si="301"/>
        <v>Закрито</v>
      </c>
      <c r="K2208" s="5">
        <v>45632</v>
      </c>
      <c r="L2208" s="1" t="s">
        <v>20</v>
      </c>
      <c r="M2208" s="1" t="s">
        <v>22</v>
      </c>
      <c r="N2208" s="5">
        <v>45649</v>
      </c>
    </row>
    <row r="2209" spans="1:14" x14ac:dyDescent="0.3">
      <c r="A2209" s="1" t="str">
        <f>"4_1287/03193413-11/2024/Б"</f>
        <v>4_1287/03193413-11/2024/Б</v>
      </c>
      <c r="B2209" s="6">
        <v>45616</v>
      </c>
      <c r="C2209" s="1" t="str">
        <f>"00144"</f>
        <v>00144</v>
      </c>
      <c r="D2209" s="2" t="str">
        <f>"Призначення державної допомоги при народженні дитини"</f>
        <v>Призначення державної допомоги при народженні дитини</v>
      </c>
      <c r="E2209" s="1" t="str">
        <f>"03193413"</f>
        <v>03193413</v>
      </c>
      <c r="F220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209" s="1" t="str">
        <f>"Фізична особа"</f>
        <v>Фізична особа</v>
      </c>
      <c r="H2209" s="1" t="s">
        <v>20</v>
      </c>
      <c r="I2209" s="1" t="s">
        <v>20</v>
      </c>
      <c r="J2209" s="1" t="str">
        <f t="shared" si="301"/>
        <v>Закрито</v>
      </c>
      <c r="K2209" s="5">
        <v>45616</v>
      </c>
      <c r="L2209" s="1" t="s">
        <v>20</v>
      </c>
      <c r="M2209" s="1" t="s">
        <v>22</v>
      </c>
      <c r="N2209" s="5">
        <v>45616</v>
      </c>
    </row>
    <row r="2210" spans="1:14" x14ac:dyDescent="0.3">
      <c r="A2210" s="1" t="str">
        <f>"1_5961/2129-11/2024/В"</f>
        <v>1_5961/2129-11/2024/В</v>
      </c>
      <c r="B2210" s="6">
        <v>45616</v>
      </c>
      <c r="C2210" s="1" t="str">
        <f>"01297"</f>
        <v>01297</v>
      </c>
      <c r="D2210" s="2" t="str">
        <f>"Видача довідок-характеристик на громадян"</f>
        <v>Видача довідок-характеристик на громадян</v>
      </c>
      <c r="E2210" s="1" t="s">
        <v>20</v>
      </c>
      <c r="F221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10" s="1" t="str">
        <f>"Юридична особа"</f>
        <v>Юридична особа</v>
      </c>
      <c r="H2210" s="1" t="str">
        <f>"Відділення поліції №4 (м.Рогатин)"</f>
        <v>Відділення поліції №4 (м.Рогатин)</v>
      </c>
      <c r="I2210" s="1" t="s">
        <v>20</v>
      </c>
      <c r="J2210" s="1" t="str">
        <f t="shared" si="301"/>
        <v>Закрито</v>
      </c>
      <c r="K2210" s="5">
        <v>45616</v>
      </c>
      <c r="L2210" s="1" t="s">
        <v>20</v>
      </c>
      <c r="M2210" s="1" t="s">
        <v>22</v>
      </c>
      <c r="N2210" s="5">
        <v>45616</v>
      </c>
    </row>
    <row r="2211" spans="1:14" x14ac:dyDescent="0.3">
      <c r="A2211" s="1" t="str">
        <f>"7_262/2129-11/2024/М"</f>
        <v>7_262/2129-11/2024/М</v>
      </c>
      <c r="B2211" s="6">
        <v>45616</v>
      </c>
      <c r="C2211" s="1" t="str">
        <f>"33"</f>
        <v>33</v>
      </c>
      <c r="D2211" s="2" t="str">
        <f>"33 Довідки різного характеру"</f>
        <v>33 Довідки різного характеру</v>
      </c>
      <c r="E2211" s="1" t="s">
        <v>20</v>
      </c>
      <c r="F221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11" s="1" t="str">
        <f t="shared" ref="G2211:G2226" si="302">"Фізична особа"</f>
        <v>Фізична особа</v>
      </c>
      <c r="H2211" s="1" t="s">
        <v>20</v>
      </c>
      <c r="I2211" s="1" t="s">
        <v>20</v>
      </c>
      <c r="J2211" s="1" t="str">
        <f t="shared" si="301"/>
        <v>Закрито</v>
      </c>
      <c r="K2211" s="5">
        <v>45616</v>
      </c>
      <c r="L2211" s="1" t="s">
        <v>20</v>
      </c>
      <c r="M2211" s="1" t="s">
        <v>22</v>
      </c>
      <c r="N2211" s="5">
        <v>45616</v>
      </c>
    </row>
    <row r="2212" spans="1:14" x14ac:dyDescent="0.3">
      <c r="A2212" s="1" t="str">
        <f>"14_1018-11/2024/Б"</f>
        <v>14_1018-11/2024/Б</v>
      </c>
      <c r="B2212" s="6">
        <v>45616</v>
      </c>
      <c r="C2212" s="1" t="str">
        <f>"00155"</f>
        <v>00155</v>
      </c>
      <c r="D2212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212" s="1" t="str">
        <f>"03193413"</f>
        <v>03193413</v>
      </c>
      <c r="F221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212" s="1" t="str">
        <f t="shared" si="302"/>
        <v>Фізична особа</v>
      </c>
      <c r="H2212" s="1" t="s">
        <v>20</v>
      </c>
      <c r="I2212" s="1" t="s">
        <v>20</v>
      </c>
      <c r="J2212" s="1" t="str">
        <f>"На обробці в СНАП"</f>
        <v>На обробці в СНАП</v>
      </c>
      <c r="K2212" s="1" t="s">
        <v>20</v>
      </c>
      <c r="L2212" s="1" t="s">
        <v>20</v>
      </c>
      <c r="M2212" s="1" t="s">
        <v>22</v>
      </c>
      <c r="N2212" s="1" t="s">
        <v>20</v>
      </c>
    </row>
    <row r="2213" spans="1:14" x14ac:dyDescent="0.3">
      <c r="A2213" s="1" t="str">
        <f>"5_499-11/2024/З"</f>
        <v>5_499-11/2024/З</v>
      </c>
      <c r="B2213" s="6">
        <v>45616</v>
      </c>
      <c r="C2213" s="1" t="str">
        <f>"00038"</f>
        <v>00038</v>
      </c>
      <c r="D221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13" s="1" t="s">
        <v>20</v>
      </c>
      <c r="F22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13" s="1" t="str">
        <f t="shared" si="302"/>
        <v>Фізична особа</v>
      </c>
      <c r="H2213" s="1" t="s">
        <v>20</v>
      </c>
      <c r="I2213" s="1" t="s">
        <v>20</v>
      </c>
      <c r="J2213" s="1" t="str">
        <f t="shared" ref="J2213:J2225" si="303">"Закрито"</f>
        <v>Закрито</v>
      </c>
      <c r="K2213" s="5">
        <v>45616</v>
      </c>
      <c r="L2213" s="1" t="s">
        <v>20</v>
      </c>
      <c r="M2213" s="1" t="s">
        <v>22</v>
      </c>
      <c r="N2213" s="5">
        <v>45616</v>
      </c>
    </row>
    <row r="2214" spans="1:14" x14ac:dyDescent="0.3">
      <c r="A2214" s="1" t="str">
        <f>"5_500-11/2024/З"</f>
        <v>5_500-11/2024/З</v>
      </c>
      <c r="B2214" s="6">
        <v>45616</v>
      </c>
      <c r="C2214" s="1" t="str">
        <f>"00155"</f>
        <v>00155</v>
      </c>
      <c r="D2214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214" s="1" t="str">
        <f>"03193413"</f>
        <v>03193413</v>
      </c>
      <c r="F221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214" s="1" t="str">
        <f t="shared" si="302"/>
        <v>Фізична особа</v>
      </c>
      <c r="H2214" s="1" t="s">
        <v>20</v>
      </c>
      <c r="I2214" s="1" t="s">
        <v>20</v>
      </c>
      <c r="J2214" s="1" t="str">
        <f t="shared" si="303"/>
        <v>Закрито</v>
      </c>
      <c r="K2214" s="5">
        <v>45624</v>
      </c>
      <c r="L2214" s="1" t="s">
        <v>20</v>
      </c>
      <c r="M2214" s="1" t="s">
        <v>22</v>
      </c>
      <c r="N2214" s="5">
        <v>45624</v>
      </c>
    </row>
    <row r="2215" spans="1:14" x14ac:dyDescent="0.3">
      <c r="A2215" s="1" t="str">
        <f>"1_5962/2129-11/2024/Б"</f>
        <v>1_5962/2129-11/2024/Б</v>
      </c>
      <c r="B2215" s="6">
        <v>45616</v>
      </c>
      <c r="C2215" s="1" t="str">
        <f>"00037"</f>
        <v>00037</v>
      </c>
      <c r="D2215" s="2" t="str">
        <f>"Зняття з реєстрації місця проживання"</f>
        <v>Зняття з реєстрації місця проживання</v>
      </c>
      <c r="E2215" s="1" t="s">
        <v>20</v>
      </c>
      <c r="F221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15" s="1" t="str">
        <f t="shared" si="302"/>
        <v>Фізична особа</v>
      </c>
      <c r="H2215" s="1" t="s">
        <v>20</v>
      </c>
      <c r="I2215" s="1" t="s">
        <v>20</v>
      </c>
      <c r="J2215" s="1" t="str">
        <f t="shared" si="303"/>
        <v>Закрито</v>
      </c>
      <c r="K2215" s="5">
        <v>45616</v>
      </c>
      <c r="L2215" s="1" t="str">
        <f>"45.42"</f>
        <v>45.42</v>
      </c>
      <c r="M2215" s="1" t="s">
        <v>22</v>
      </c>
      <c r="N2215" s="5">
        <v>45616</v>
      </c>
    </row>
    <row r="2216" spans="1:14" x14ac:dyDescent="0.3">
      <c r="A2216" s="1" t="str">
        <f>"1_5963/2129-11/2024/Б"</f>
        <v>1_5963/2129-11/2024/Б</v>
      </c>
      <c r="B2216" s="6">
        <v>45616</v>
      </c>
      <c r="C2216" s="1" t="str">
        <f>"00037"</f>
        <v>00037</v>
      </c>
      <c r="D2216" s="2" t="str">
        <f>"Зняття з реєстрації місця проживання"</f>
        <v>Зняття з реєстрації місця проживання</v>
      </c>
      <c r="E2216" s="1" t="s">
        <v>20</v>
      </c>
      <c r="F221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16" s="1" t="str">
        <f t="shared" si="302"/>
        <v>Фізична особа</v>
      </c>
      <c r="H2216" s="1" t="s">
        <v>20</v>
      </c>
      <c r="I2216" s="1" t="s">
        <v>20</v>
      </c>
      <c r="J2216" s="1" t="str">
        <f t="shared" si="303"/>
        <v>Закрито</v>
      </c>
      <c r="K2216" s="5">
        <v>45616</v>
      </c>
      <c r="L2216" s="1" t="str">
        <f>"45.42"</f>
        <v>45.42</v>
      </c>
      <c r="M2216" s="1" t="s">
        <v>22</v>
      </c>
      <c r="N2216" s="5">
        <v>45616</v>
      </c>
    </row>
    <row r="2217" spans="1:14" x14ac:dyDescent="0.3">
      <c r="A2217" s="1" t="str">
        <f>"25_437-11/2024/Г"</f>
        <v>25_437-11/2024/Г</v>
      </c>
      <c r="B2217" s="6">
        <v>45616</v>
      </c>
      <c r="C2217" s="1" t="str">
        <f>"00038"</f>
        <v>00038</v>
      </c>
      <c r="D221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17" s="1" t="s">
        <v>20</v>
      </c>
      <c r="F221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17" s="1" t="str">
        <f t="shared" si="302"/>
        <v>Фізична особа</v>
      </c>
      <c r="H2217" s="1" t="s">
        <v>20</v>
      </c>
      <c r="I2217" s="1" t="s">
        <v>20</v>
      </c>
      <c r="J2217" s="1" t="str">
        <f t="shared" si="303"/>
        <v>Закрито</v>
      </c>
      <c r="K2217" s="5">
        <v>45616</v>
      </c>
      <c r="L2217" s="1" t="s">
        <v>20</v>
      </c>
      <c r="M2217" s="1" t="s">
        <v>22</v>
      </c>
      <c r="N2217" s="5">
        <v>45616</v>
      </c>
    </row>
    <row r="2218" spans="1:14" x14ac:dyDescent="0.3">
      <c r="A2218" s="1" t="str">
        <f>"1_5964/2129-11/2024/Б"</f>
        <v>1_5964/2129-11/2024/Б</v>
      </c>
      <c r="B2218" s="6">
        <v>45616</v>
      </c>
      <c r="C2218" s="1" t="str">
        <f>"00038"</f>
        <v>00038</v>
      </c>
      <c r="D221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18" s="1" t="s">
        <v>20</v>
      </c>
      <c r="F22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18" s="1" t="str">
        <f t="shared" si="302"/>
        <v>Фізична особа</v>
      </c>
      <c r="H2218" s="1" t="s">
        <v>20</v>
      </c>
      <c r="I2218" s="1" t="s">
        <v>20</v>
      </c>
      <c r="J2218" s="1" t="str">
        <f t="shared" si="303"/>
        <v>Закрито</v>
      </c>
      <c r="K2218" s="5">
        <v>45616</v>
      </c>
      <c r="L2218" s="1" t="s">
        <v>20</v>
      </c>
      <c r="M2218" s="1" t="s">
        <v>22</v>
      </c>
      <c r="N2218" s="5">
        <v>45616</v>
      </c>
    </row>
    <row r="2219" spans="1:14" x14ac:dyDescent="0.3">
      <c r="A2219" s="1" t="str">
        <f>"4_1288/03193413-11/2024/К"</f>
        <v>4_1288/03193413-11/2024/К</v>
      </c>
      <c r="B2219" s="6">
        <v>45616</v>
      </c>
      <c r="C2219" s="1" t="str">
        <f>"00103"</f>
        <v>00103</v>
      </c>
      <c r="D2219" s="2" t="s">
        <v>1</v>
      </c>
      <c r="E2219" s="1" t="str">
        <f>"03193413"</f>
        <v>03193413</v>
      </c>
      <c r="F221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219" s="1" t="str">
        <f t="shared" si="302"/>
        <v>Фізична особа</v>
      </c>
      <c r="H2219" s="1" t="s">
        <v>20</v>
      </c>
      <c r="I2219" s="1" t="s">
        <v>20</v>
      </c>
      <c r="J2219" s="1" t="str">
        <f t="shared" si="303"/>
        <v>Закрито</v>
      </c>
      <c r="K2219" s="5">
        <v>45617</v>
      </c>
      <c r="L2219" s="1" t="s">
        <v>20</v>
      </c>
      <c r="M2219" s="1" t="s">
        <v>22</v>
      </c>
      <c r="N2219" s="5">
        <v>45617</v>
      </c>
    </row>
    <row r="2220" spans="1:14" x14ac:dyDescent="0.3">
      <c r="A2220" s="1" t="str">
        <f>"1_5965/2129-11/2024/Ф"</f>
        <v>1_5965/2129-11/2024/Ф</v>
      </c>
      <c r="B2220" s="6">
        <v>45616</v>
      </c>
      <c r="C2220" s="1" t="str">
        <f>"00038"</f>
        <v>00038</v>
      </c>
      <c r="D222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20" s="1" t="s">
        <v>20</v>
      </c>
      <c r="F2220" s="1" t="str">
        <f t="shared" ref="F2220:F2225" si="304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20" s="1" t="str">
        <f t="shared" si="302"/>
        <v>Фізична особа</v>
      </c>
      <c r="H2220" s="1" t="s">
        <v>20</v>
      </c>
      <c r="I2220" s="1" t="s">
        <v>20</v>
      </c>
      <c r="J2220" s="1" t="str">
        <f t="shared" si="303"/>
        <v>Закрито</v>
      </c>
      <c r="K2220" s="5">
        <v>45616</v>
      </c>
      <c r="L2220" s="1" t="s">
        <v>20</v>
      </c>
      <c r="M2220" s="1" t="s">
        <v>22</v>
      </c>
      <c r="N2220" s="5">
        <v>45616</v>
      </c>
    </row>
    <row r="2221" spans="1:14" x14ac:dyDescent="0.3">
      <c r="A2221" s="1" t="str">
        <f>"1_5966/2129-11/2024/С"</f>
        <v>1_5966/2129-11/2024/С</v>
      </c>
      <c r="B2221" s="6">
        <v>45616</v>
      </c>
      <c r="C2221" s="1" t="str">
        <f>"00038"</f>
        <v>00038</v>
      </c>
      <c r="D222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21" s="1" t="s">
        <v>20</v>
      </c>
      <c r="F2221" s="1" t="str">
        <f t="shared" si="304"/>
        <v>Центр надання адміністративних послуг Рогатинської міської ради</v>
      </c>
      <c r="G2221" s="1" t="str">
        <f t="shared" si="302"/>
        <v>Фізична особа</v>
      </c>
      <c r="H2221" s="1" t="s">
        <v>20</v>
      </c>
      <c r="I2221" s="1" t="s">
        <v>20</v>
      </c>
      <c r="J2221" s="1" t="str">
        <f t="shared" si="303"/>
        <v>Закрито</v>
      </c>
      <c r="K2221" s="5">
        <v>45616</v>
      </c>
      <c r="L2221" s="1" t="s">
        <v>20</v>
      </c>
      <c r="M2221" s="1" t="s">
        <v>22</v>
      </c>
      <c r="N2221" s="5">
        <v>45616</v>
      </c>
    </row>
    <row r="2222" spans="1:14" x14ac:dyDescent="0.3">
      <c r="A2222" s="1" t="str">
        <f>"25_438-11/2024/Г"</f>
        <v>25_438-11/2024/Г</v>
      </c>
      <c r="B2222" s="6">
        <v>45616</v>
      </c>
      <c r="C2222" s="1" t="str">
        <f>"00034"</f>
        <v>00034</v>
      </c>
      <c r="D2222" s="2" t="str">
        <f>"Реєстрація місця проживання"</f>
        <v>Реєстрація місця проживання</v>
      </c>
      <c r="E2222" s="1" t="s">
        <v>20</v>
      </c>
      <c r="F2222" s="1" t="str">
        <f t="shared" si="304"/>
        <v>Центр надання адміністративних послуг Рогатинської міської ради</v>
      </c>
      <c r="G2222" s="1" t="str">
        <f t="shared" si="302"/>
        <v>Фізична особа</v>
      </c>
      <c r="H2222" s="1" t="s">
        <v>20</v>
      </c>
      <c r="I2222" s="1" t="s">
        <v>20</v>
      </c>
      <c r="J2222" s="1" t="str">
        <f t="shared" si="303"/>
        <v>Закрито</v>
      </c>
      <c r="K2222" s="5">
        <v>45616</v>
      </c>
      <c r="L2222" s="1" t="s">
        <v>20</v>
      </c>
      <c r="M2222" s="1" t="s">
        <v>22</v>
      </c>
      <c r="N2222" s="5">
        <v>45616</v>
      </c>
    </row>
    <row r="2223" spans="1:14" x14ac:dyDescent="0.3">
      <c r="A2223" s="1" t="str">
        <f>"25_439-11/2024/Г"</f>
        <v>25_439-11/2024/Г</v>
      </c>
      <c r="B2223" s="6">
        <v>45616</v>
      </c>
      <c r="C2223" s="1" t="str">
        <f>"00038"</f>
        <v>00038</v>
      </c>
      <c r="D222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23" s="1" t="s">
        <v>20</v>
      </c>
      <c r="F2223" s="1" t="str">
        <f t="shared" si="304"/>
        <v>Центр надання адміністративних послуг Рогатинської міської ради</v>
      </c>
      <c r="G2223" s="1" t="str">
        <f t="shared" si="302"/>
        <v>Фізична особа</v>
      </c>
      <c r="H2223" s="1" t="s">
        <v>20</v>
      </c>
      <c r="I2223" s="1" t="s">
        <v>20</v>
      </c>
      <c r="J2223" s="1" t="str">
        <f t="shared" si="303"/>
        <v>Закрито</v>
      </c>
      <c r="K2223" s="5">
        <v>45616</v>
      </c>
      <c r="L2223" s="1" t="s">
        <v>20</v>
      </c>
      <c r="M2223" s="1" t="s">
        <v>22</v>
      </c>
      <c r="N2223" s="5">
        <v>45616</v>
      </c>
    </row>
    <row r="2224" spans="1:14" x14ac:dyDescent="0.3">
      <c r="A2224" s="1" t="str">
        <f>"4_1002-11/2024/П"</f>
        <v>4_1002-11/2024/П</v>
      </c>
      <c r="B2224" s="6">
        <v>45616</v>
      </c>
      <c r="C2224" s="1" t="str">
        <f>"00038"</f>
        <v>00038</v>
      </c>
      <c r="D222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24" s="1" t="s">
        <v>20</v>
      </c>
      <c r="F2224" s="1" t="str">
        <f t="shared" si="304"/>
        <v>Центр надання адміністративних послуг Рогатинської міської ради</v>
      </c>
      <c r="G2224" s="1" t="str">
        <f t="shared" si="302"/>
        <v>Фізична особа</v>
      </c>
      <c r="H2224" s="1" t="s">
        <v>20</v>
      </c>
      <c r="I2224" s="1" t="s">
        <v>20</v>
      </c>
      <c r="J2224" s="1" t="str">
        <f t="shared" si="303"/>
        <v>Закрито</v>
      </c>
      <c r="K2224" s="5">
        <v>45616</v>
      </c>
      <c r="L2224" s="1" t="s">
        <v>20</v>
      </c>
      <c r="M2224" s="1" t="s">
        <v>22</v>
      </c>
      <c r="N2224" s="5">
        <v>45616</v>
      </c>
    </row>
    <row r="2225" spans="1:14" x14ac:dyDescent="0.3">
      <c r="A2225" s="1" t="str">
        <f>"4_1003-11/2024/П"</f>
        <v>4_1003-11/2024/П</v>
      </c>
      <c r="B2225" s="6">
        <v>45616</v>
      </c>
      <c r="C2225" s="1" t="str">
        <f>"00038"</f>
        <v>00038</v>
      </c>
      <c r="D222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25" s="1" t="s">
        <v>20</v>
      </c>
      <c r="F2225" s="1" t="str">
        <f t="shared" si="304"/>
        <v>Центр надання адміністративних послуг Рогатинської міської ради</v>
      </c>
      <c r="G2225" s="1" t="str">
        <f t="shared" si="302"/>
        <v>Фізична особа</v>
      </c>
      <c r="H2225" s="1" t="s">
        <v>20</v>
      </c>
      <c r="I2225" s="1" t="s">
        <v>20</v>
      </c>
      <c r="J2225" s="1" t="str">
        <f t="shared" si="303"/>
        <v>Закрито</v>
      </c>
      <c r="K2225" s="5">
        <v>45616</v>
      </c>
      <c r="L2225" s="1" t="s">
        <v>20</v>
      </c>
      <c r="M2225" s="1" t="s">
        <v>22</v>
      </c>
      <c r="N2225" s="5">
        <v>45616</v>
      </c>
    </row>
    <row r="2226" spans="1:14" x14ac:dyDescent="0.3">
      <c r="A2226" s="1" t="str">
        <f>"4_1004-11/2024/Г"</f>
        <v>4_1004-11/2024/Г</v>
      </c>
      <c r="B2226" s="6">
        <v>45616</v>
      </c>
      <c r="C2226" s="1" t="str">
        <f>"00155"</f>
        <v>00155</v>
      </c>
      <c r="D2226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226" s="1" t="str">
        <f>"03193413"</f>
        <v>03193413</v>
      </c>
      <c r="F222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226" s="1" t="str">
        <f t="shared" si="302"/>
        <v>Фізична особа</v>
      </c>
      <c r="H2226" s="1" t="s">
        <v>20</v>
      </c>
      <c r="I2226" s="1" t="s">
        <v>20</v>
      </c>
      <c r="J2226" s="1" t="str">
        <f>"Заявника сповіщено про результат"</f>
        <v>Заявника сповіщено про результат</v>
      </c>
      <c r="K2226" s="5">
        <v>45626</v>
      </c>
      <c r="L2226" s="1" t="s">
        <v>20</v>
      </c>
      <c r="M2226" s="1" t="s">
        <v>22</v>
      </c>
      <c r="N2226" s="5">
        <v>45637</v>
      </c>
    </row>
    <row r="2227" spans="1:14" x14ac:dyDescent="0.3">
      <c r="A2227" s="1" t="str">
        <f>"4_1005-11/2024/Д"</f>
        <v>4_1005-11/2024/Д</v>
      </c>
      <c r="B2227" s="6">
        <v>45616</v>
      </c>
      <c r="C2227" s="1" t="str">
        <f>"01495"</f>
        <v>01495</v>
      </c>
      <c r="D2227" s="2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2227" s="1" t="s">
        <v>20</v>
      </c>
      <c r="F222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27" s="1" t="str">
        <f>"Юридична особа"</f>
        <v>Юридична особа</v>
      </c>
      <c r="H2227" s="1" t="str">
        <f>"Державний нотаріус Рогатинської державної нотаріальної контори"</f>
        <v>Державний нотаріус Рогатинської державної нотаріальної контори</v>
      </c>
      <c r="I2227" s="1" t="str">
        <f>"02891931"</f>
        <v>02891931</v>
      </c>
      <c r="J2227" s="1" t="str">
        <f t="shared" ref="J2227:J2272" si="305">"Закрито"</f>
        <v>Закрито</v>
      </c>
      <c r="K2227" s="5">
        <v>45616</v>
      </c>
      <c r="L2227" s="1" t="s">
        <v>20</v>
      </c>
      <c r="M2227" s="1" t="s">
        <v>22</v>
      </c>
      <c r="N2227" s="5">
        <v>45616</v>
      </c>
    </row>
    <row r="2228" spans="1:14" x14ac:dyDescent="0.3">
      <c r="A2228" s="1" t="str">
        <f>"4_1006-11/2024/П"</f>
        <v>4_1006-11/2024/П</v>
      </c>
      <c r="B2228" s="6">
        <v>45616</v>
      </c>
      <c r="C2228" s="1" t="str">
        <f>"00034"</f>
        <v>00034</v>
      </c>
      <c r="D2228" s="2" t="str">
        <f>"Реєстрація місця проживання"</f>
        <v>Реєстрація місця проживання</v>
      </c>
      <c r="E2228" s="1" t="s">
        <v>20</v>
      </c>
      <c r="F22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28" s="1" t="str">
        <f>"Фізична особа"</f>
        <v>Фізична особа</v>
      </c>
      <c r="H2228" s="1" t="s">
        <v>20</v>
      </c>
      <c r="I2228" s="1" t="s">
        <v>20</v>
      </c>
      <c r="J2228" s="1" t="str">
        <f t="shared" si="305"/>
        <v>Закрито</v>
      </c>
      <c r="K2228" s="5">
        <v>45616</v>
      </c>
      <c r="L2228" s="1" t="str">
        <f>"45.42"</f>
        <v>45.42</v>
      </c>
      <c r="M2228" s="1" t="s">
        <v>22</v>
      </c>
      <c r="N2228" s="5">
        <v>45616</v>
      </c>
    </row>
    <row r="2229" spans="1:14" x14ac:dyDescent="0.3">
      <c r="A2229" s="1" t="str">
        <f>"4_1007-11/2024/П"</f>
        <v>4_1007-11/2024/П</v>
      </c>
      <c r="B2229" s="6">
        <v>45616</v>
      </c>
      <c r="C2229" s="1" t="str">
        <f>"00038"</f>
        <v>00038</v>
      </c>
      <c r="D222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29" s="1" t="s">
        <v>20</v>
      </c>
      <c r="F222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29" s="1" t="str">
        <f>"Фізична особа"</f>
        <v>Фізична особа</v>
      </c>
      <c r="H2229" s="1" t="s">
        <v>20</v>
      </c>
      <c r="I2229" s="1" t="s">
        <v>20</v>
      </c>
      <c r="J2229" s="1" t="str">
        <f t="shared" si="305"/>
        <v>Закрито</v>
      </c>
      <c r="K2229" s="5">
        <v>45616</v>
      </c>
      <c r="L2229" s="1" t="s">
        <v>20</v>
      </c>
      <c r="M2229" s="1" t="s">
        <v>22</v>
      </c>
      <c r="N2229" s="5">
        <v>45616</v>
      </c>
    </row>
    <row r="2230" spans="1:14" x14ac:dyDescent="0.3">
      <c r="A2230" s="1" t="str">
        <f>"4_1008-11/2024/К"</f>
        <v>4_1008-11/2024/К</v>
      </c>
      <c r="B2230" s="6">
        <v>45616</v>
      </c>
      <c r="C2230" s="1" t="str">
        <f>"00101"</f>
        <v>00101</v>
      </c>
      <c r="D2230" s="2" t="str">
        <f>"Призначення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основі"</f>
        <v>Призначення компенсації за догляд фізичній особі, яка надає соціальні послуги з догляду без здійснення підприємницької діяльності на непрофесійній основі</v>
      </c>
      <c r="E2230" s="1" t="str">
        <f>"03193413"</f>
        <v>03193413</v>
      </c>
      <c r="F223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230" s="1" t="str">
        <f>"Фізична особа"</f>
        <v>Фізична особа</v>
      </c>
      <c r="H2230" s="1" t="s">
        <v>20</v>
      </c>
      <c r="I2230" s="1" t="s">
        <v>20</v>
      </c>
      <c r="J2230" s="1" t="str">
        <f t="shared" si="305"/>
        <v>Закрито</v>
      </c>
      <c r="K2230" s="1" t="s">
        <v>20</v>
      </c>
      <c r="L2230" s="1" t="s">
        <v>20</v>
      </c>
      <c r="M2230" s="1" t="s">
        <v>22</v>
      </c>
      <c r="N2230" s="1" t="s">
        <v>20</v>
      </c>
    </row>
    <row r="2231" spans="1:14" x14ac:dyDescent="0.3">
      <c r="A2231" s="1" t="str">
        <f>"4_1009-11/2024/Г"</f>
        <v>4_1009-11/2024/Г</v>
      </c>
      <c r="B2231" s="6">
        <v>45616</v>
      </c>
      <c r="C2231" s="1" t="str">
        <f>"00038"</f>
        <v>00038</v>
      </c>
      <c r="D223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31" s="1" t="s">
        <v>20</v>
      </c>
      <c r="F22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31" s="1" t="str">
        <f>"Фізична особа"</f>
        <v>Фізична особа</v>
      </c>
      <c r="H2231" s="1" t="s">
        <v>20</v>
      </c>
      <c r="I2231" s="1" t="s">
        <v>20</v>
      </c>
      <c r="J2231" s="1" t="str">
        <f t="shared" si="305"/>
        <v>Закрито</v>
      </c>
      <c r="K2231" s="5">
        <v>45616</v>
      </c>
      <c r="L2231" s="1" t="s">
        <v>20</v>
      </c>
      <c r="M2231" s="1" t="s">
        <v>22</v>
      </c>
      <c r="N2231" s="5">
        <v>45616</v>
      </c>
    </row>
    <row r="2232" spans="1:14" x14ac:dyDescent="0.3">
      <c r="A2232" s="1" t="str">
        <f>"4_1010-11/2024/Г"</f>
        <v>4_1010-11/2024/Г</v>
      </c>
      <c r="B2232" s="6">
        <v>45616</v>
      </c>
      <c r="C2232" s="1" t="str">
        <f>"00038"</f>
        <v>00038</v>
      </c>
      <c r="D223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32" s="1" t="s">
        <v>20</v>
      </c>
      <c r="F22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32" s="1" t="str">
        <f>"Фізична особа"</f>
        <v>Фізична особа</v>
      </c>
      <c r="H2232" s="1" t="s">
        <v>20</v>
      </c>
      <c r="I2232" s="1" t="s">
        <v>20</v>
      </c>
      <c r="J2232" s="1" t="str">
        <f t="shared" si="305"/>
        <v>Закрито</v>
      </c>
      <c r="K2232" s="5">
        <v>45616</v>
      </c>
      <c r="L2232" s="1" t="s">
        <v>20</v>
      </c>
      <c r="M2232" s="1" t="s">
        <v>22</v>
      </c>
      <c r="N2232" s="5">
        <v>45616</v>
      </c>
    </row>
    <row r="2233" spans="1:14" x14ac:dyDescent="0.3">
      <c r="A2233" s="1" t="str">
        <f>"3_1395/4-11/2024/Р"</f>
        <v>3_1395/4-11/2024/Р</v>
      </c>
      <c r="B2233" s="6">
        <v>45617</v>
      </c>
      <c r="C2233" s="1" t="str">
        <f>"00060"</f>
        <v>00060</v>
      </c>
      <c r="D2233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33" s="1" t="s">
        <v>20</v>
      </c>
      <c r="F2233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33" s="1" t="str">
        <f>"Юридична особа"</f>
        <v>Юридична особа</v>
      </c>
      <c r="H2233" s="1" t="str">
        <f>"РОГАТИНСЬКА МІСЬКА РАДА"</f>
        <v>РОГАТИНСЬКА МІСЬКА РАДА</v>
      </c>
      <c r="I2233" s="1" t="str">
        <f>"04054323"</f>
        <v>04054323</v>
      </c>
      <c r="J2233" s="1" t="str">
        <f t="shared" si="305"/>
        <v>Закрито</v>
      </c>
      <c r="K2233" s="5">
        <v>45617</v>
      </c>
      <c r="L2233" s="1" t="s">
        <v>20</v>
      </c>
      <c r="M2233" s="1" t="s">
        <v>22</v>
      </c>
      <c r="N2233" s="5">
        <v>45617</v>
      </c>
    </row>
    <row r="2234" spans="1:14" x14ac:dyDescent="0.3">
      <c r="A2234" s="1" t="str">
        <f>"3_1396/4-11/2024/Р"</f>
        <v>3_1396/4-11/2024/Р</v>
      </c>
      <c r="B2234" s="6">
        <v>45617</v>
      </c>
      <c r="C2234" s="1" t="str">
        <f>"00060"</f>
        <v>00060</v>
      </c>
      <c r="D2234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34" s="1" t="s">
        <v>20</v>
      </c>
      <c r="F2234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34" s="1" t="str">
        <f>"Юридична особа"</f>
        <v>Юридична особа</v>
      </c>
      <c r="H2234" s="1" t="str">
        <f>"РОГАТИНСЬКА МІСЬКА РАДА"</f>
        <v>РОГАТИНСЬКА МІСЬКА РАДА</v>
      </c>
      <c r="I2234" s="1" t="str">
        <f>"04054323"</f>
        <v>04054323</v>
      </c>
      <c r="J2234" s="1" t="str">
        <f t="shared" si="305"/>
        <v>Закрито</v>
      </c>
      <c r="K2234" s="5">
        <v>45617</v>
      </c>
      <c r="L2234" s="1" t="s">
        <v>20</v>
      </c>
      <c r="M2234" s="1" t="s">
        <v>22</v>
      </c>
      <c r="N2234" s="5">
        <v>45617</v>
      </c>
    </row>
    <row r="2235" spans="1:14" x14ac:dyDescent="0.3">
      <c r="A2235" s="1" t="str">
        <f>"3_1397/4-11/2024/Р"</f>
        <v>3_1397/4-11/2024/Р</v>
      </c>
      <c r="B2235" s="6">
        <v>45617</v>
      </c>
      <c r="C2235" s="1" t="str">
        <f>"00060"</f>
        <v>00060</v>
      </c>
      <c r="D2235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35" s="1" t="s">
        <v>20</v>
      </c>
      <c r="F2235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35" s="1" t="str">
        <f>"Юридична особа"</f>
        <v>Юридична особа</v>
      </c>
      <c r="H2235" s="1" t="str">
        <f>"РОГАТИНСЬКА МІСЬКА РАДА"</f>
        <v>РОГАТИНСЬКА МІСЬКА РАДА</v>
      </c>
      <c r="I2235" s="1" t="str">
        <f>"04054323"</f>
        <v>04054323</v>
      </c>
      <c r="J2235" s="1" t="str">
        <f t="shared" si="305"/>
        <v>Закрито</v>
      </c>
      <c r="K2235" s="5">
        <v>45617</v>
      </c>
      <c r="L2235" s="1" t="s">
        <v>20</v>
      </c>
      <c r="M2235" s="1" t="s">
        <v>22</v>
      </c>
      <c r="N2235" s="5">
        <v>45617</v>
      </c>
    </row>
    <row r="2236" spans="1:14" x14ac:dyDescent="0.3">
      <c r="A2236" s="1" t="str">
        <f>"8_81/2129-11/2024/Б"</f>
        <v>8_81/2129-11/2024/Б</v>
      </c>
      <c r="B2236" s="6">
        <v>45617</v>
      </c>
      <c r="C2236" s="1" t="str">
        <f>"00033"</f>
        <v>00033</v>
      </c>
      <c r="D2236" s="2" t="str">
        <f>"Державна реєстрація смерті"</f>
        <v>Державна реєстрація смерті</v>
      </c>
      <c r="E2236" s="1" t="s">
        <v>20</v>
      </c>
      <c r="F223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36" s="1" t="str">
        <f>"Фізична особа"</f>
        <v>Фізична особа</v>
      </c>
      <c r="H2236" s="1" t="s">
        <v>20</v>
      </c>
      <c r="I2236" s="1" t="s">
        <v>20</v>
      </c>
      <c r="J2236" s="1" t="str">
        <f t="shared" si="305"/>
        <v>Закрито</v>
      </c>
      <c r="K2236" s="5">
        <v>45617</v>
      </c>
      <c r="L2236" s="1" t="s">
        <v>20</v>
      </c>
      <c r="M2236" s="1" t="s">
        <v>22</v>
      </c>
      <c r="N2236" s="5">
        <v>45617</v>
      </c>
    </row>
    <row r="2237" spans="1:14" x14ac:dyDescent="0.3">
      <c r="A2237" s="1" t="str">
        <f>"1_5967/2129-11/2024/Б"</f>
        <v>1_5967/2129-11/2024/Б</v>
      </c>
      <c r="B2237" s="6">
        <v>45617</v>
      </c>
      <c r="C2237" s="1" t="str">
        <f>"00037"</f>
        <v>00037</v>
      </c>
      <c r="D2237" s="2" t="str">
        <f>"Зняття з реєстрації місця проживання"</f>
        <v>Зняття з реєстрації місця проживання</v>
      </c>
      <c r="E2237" s="1" t="s">
        <v>20</v>
      </c>
      <c r="F223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37" s="1" t="str">
        <f>"Фізична особа"</f>
        <v>Фізична особа</v>
      </c>
      <c r="H2237" s="1" t="s">
        <v>20</v>
      </c>
      <c r="I2237" s="1" t="s">
        <v>20</v>
      </c>
      <c r="J2237" s="1" t="str">
        <f t="shared" si="305"/>
        <v>Закрито</v>
      </c>
      <c r="K2237" s="5">
        <v>45617</v>
      </c>
      <c r="L2237" s="1" t="s">
        <v>20</v>
      </c>
      <c r="M2237" s="1" t="s">
        <v>22</v>
      </c>
      <c r="N2237" s="5">
        <v>45617</v>
      </c>
    </row>
    <row r="2238" spans="1:14" x14ac:dyDescent="0.3">
      <c r="A2238" s="1" t="str">
        <f>"3_1398/4-11/2024/Р"</f>
        <v>3_1398/4-11/2024/Р</v>
      </c>
      <c r="B2238" s="6">
        <v>45617</v>
      </c>
      <c r="C2238" s="1" t="str">
        <f>"00060"</f>
        <v>00060</v>
      </c>
      <c r="D2238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38" s="1" t="s">
        <v>20</v>
      </c>
      <c r="F2238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38" s="1" t="str">
        <f>"Юридична особа"</f>
        <v>Юридична особа</v>
      </c>
      <c r="H2238" s="1" t="str">
        <f>"РОГАТИНСЬКА МІСЬКА РАДА"</f>
        <v>РОГАТИНСЬКА МІСЬКА РАДА</v>
      </c>
      <c r="I2238" s="1" t="str">
        <f>"04054323"</f>
        <v>04054323</v>
      </c>
      <c r="J2238" s="1" t="str">
        <f t="shared" si="305"/>
        <v>Закрито</v>
      </c>
      <c r="K2238" s="5">
        <v>45617</v>
      </c>
      <c r="L2238" s="1" t="s">
        <v>20</v>
      </c>
      <c r="M2238" s="1" t="s">
        <v>22</v>
      </c>
      <c r="N2238" s="5">
        <v>45617</v>
      </c>
    </row>
    <row r="2239" spans="1:14" x14ac:dyDescent="0.3">
      <c r="A2239" s="1" t="str">
        <f>"14_1019-11/2024/Б"</f>
        <v>14_1019-11/2024/Б</v>
      </c>
      <c r="B2239" s="6">
        <v>45617</v>
      </c>
      <c r="C2239" s="1" t="str">
        <f>"00038"</f>
        <v>00038</v>
      </c>
      <c r="D223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39" s="1" t="s">
        <v>20</v>
      </c>
      <c r="F223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39" s="1" t="str">
        <f>"Фізична особа"</f>
        <v>Фізична особа</v>
      </c>
      <c r="H2239" s="1" t="s">
        <v>20</v>
      </c>
      <c r="I2239" s="1" t="s">
        <v>20</v>
      </c>
      <c r="J2239" s="1" t="str">
        <f t="shared" si="305"/>
        <v>Закрито</v>
      </c>
      <c r="K2239" s="5">
        <v>45617</v>
      </c>
      <c r="L2239" s="1" t="s">
        <v>20</v>
      </c>
      <c r="M2239" s="1" t="s">
        <v>22</v>
      </c>
      <c r="N2239" s="5">
        <v>45617</v>
      </c>
    </row>
    <row r="2240" spans="1:14" x14ac:dyDescent="0.3">
      <c r="A2240" s="1" t="str">
        <f>"3_1399/4-11/2024/Р"</f>
        <v>3_1399/4-11/2024/Р</v>
      </c>
      <c r="B2240" s="6">
        <v>45617</v>
      </c>
      <c r="C2240" s="1" t="str">
        <f>"00060"</f>
        <v>00060</v>
      </c>
      <c r="D2240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40" s="1" t="s">
        <v>20</v>
      </c>
      <c r="F2240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40" s="1" t="str">
        <f>"Юридична особа"</f>
        <v>Юридична особа</v>
      </c>
      <c r="H2240" s="1" t="str">
        <f>"РОГАТИНСЬКА МІСЬКА РАДА"</f>
        <v>РОГАТИНСЬКА МІСЬКА РАДА</v>
      </c>
      <c r="I2240" s="1" t="str">
        <f>"04054323"</f>
        <v>04054323</v>
      </c>
      <c r="J2240" s="1" t="str">
        <f t="shared" si="305"/>
        <v>Закрито</v>
      </c>
      <c r="K2240" s="5">
        <v>45617</v>
      </c>
      <c r="L2240" s="1" t="s">
        <v>20</v>
      </c>
      <c r="M2240" s="1" t="s">
        <v>22</v>
      </c>
      <c r="N2240" s="5">
        <v>45617</v>
      </c>
    </row>
    <row r="2241" spans="1:14" x14ac:dyDescent="0.3">
      <c r="A2241" s="1" t="str">
        <f>"3_1400/4-11/2024/Р"</f>
        <v>3_1400/4-11/2024/Р</v>
      </c>
      <c r="B2241" s="6">
        <v>45617</v>
      </c>
      <c r="C2241" s="1" t="str">
        <f>"00060"</f>
        <v>00060</v>
      </c>
      <c r="D2241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41" s="1" t="s">
        <v>20</v>
      </c>
      <c r="F2241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41" s="1" t="str">
        <f>"Юридична особа"</f>
        <v>Юридична особа</v>
      </c>
      <c r="H2241" s="1" t="str">
        <f>"РОГАТИНСЬКА МІСЬКА РАДА"</f>
        <v>РОГАТИНСЬКА МІСЬКА РАДА</v>
      </c>
      <c r="I2241" s="1" t="str">
        <f>"04054323"</f>
        <v>04054323</v>
      </c>
      <c r="J2241" s="1" t="str">
        <f t="shared" si="305"/>
        <v>Закрито</v>
      </c>
      <c r="K2241" s="5">
        <v>45617</v>
      </c>
      <c r="L2241" s="1" t="s">
        <v>20</v>
      </c>
      <c r="M2241" s="1" t="s">
        <v>22</v>
      </c>
      <c r="N2241" s="5">
        <v>45617</v>
      </c>
    </row>
    <row r="2242" spans="1:14" x14ac:dyDescent="0.3">
      <c r="A2242" s="1" t="str">
        <f>"1_5968/2129-11/2024/Я"</f>
        <v>1_5968/2129-11/2024/Я</v>
      </c>
      <c r="B2242" s="6">
        <v>45617</v>
      </c>
      <c r="C2242" s="1" t="str">
        <f>"00038"</f>
        <v>00038</v>
      </c>
      <c r="D224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42" s="1" t="s">
        <v>20</v>
      </c>
      <c r="F224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42" s="1" t="str">
        <f>"Фізична особа"</f>
        <v>Фізична особа</v>
      </c>
      <c r="H2242" s="1" t="s">
        <v>20</v>
      </c>
      <c r="I2242" s="1" t="s">
        <v>20</v>
      </c>
      <c r="J2242" s="1" t="str">
        <f t="shared" si="305"/>
        <v>Закрито</v>
      </c>
      <c r="K2242" s="5">
        <v>45617</v>
      </c>
      <c r="L2242" s="1" t="str">
        <f>"45.42"</f>
        <v>45.42</v>
      </c>
      <c r="M2242" s="1" t="s">
        <v>22</v>
      </c>
      <c r="N2242" s="5">
        <v>45617</v>
      </c>
    </row>
    <row r="2243" spans="1:14" x14ac:dyDescent="0.3">
      <c r="A2243" s="1" t="str">
        <f>"3_1401/4-11/2024/Р"</f>
        <v>3_1401/4-11/2024/Р</v>
      </c>
      <c r="B2243" s="6">
        <v>45617</v>
      </c>
      <c r="C2243" s="1" t="str">
        <f>"00060"</f>
        <v>00060</v>
      </c>
      <c r="D2243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43" s="1" t="s">
        <v>20</v>
      </c>
      <c r="F2243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43" s="1" t="str">
        <f>"Юридична особа"</f>
        <v>Юридична особа</v>
      </c>
      <c r="H2243" s="1" t="str">
        <f>"РОГАТИНСЬКА МІСЬКА РАДА"</f>
        <v>РОГАТИНСЬКА МІСЬКА РАДА</v>
      </c>
      <c r="I2243" s="1" t="str">
        <f>"04054323"</f>
        <v>04054323</v>
      </c>
      <c r="J2243" s="1" t="str">
        <f t="shared" si="305"/>
        <v>Закрито</v>
      </c>
      <c r="K2243" s="5">
        <v>45617</v>
      </c>
      <c r="L2243" s="1" t="s">
        <v>20</v>
      </c>
      <c r="M2243" s="1" t="s">
        <v>22</v>
      </c>
      <c r="N2243" s="5">
        <v>45617</v>
      </c>
    </row>
    <row r="2244" spans="1:14" x14ac:dyDescent="0.3">
      <c r="A2244" s="1" t="str">
        <f>"1_5969/2129-11/2024/Я"</f>
        <v>1_5969/2129-11/2024/Я</v>
      </c>
      <c r="B2244" s="6">
        <v>45617</v>
      </c>
      <c r="C2244" s="1" t="str">
        <f>"00038"</f>
        <v>00038</v>
      </c>
      <c r="D224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44" s="1" t="s">
        <v>20</v>
      </c>
      <c r="F224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44" s="1" t="str">
        <f>"Фізична особа"</f>
        <v>Фізична особа</v>
      </c>
      <c r="H2244" s="1" t="s">
        <v>20</v>
      </c>
      <c r="I2244" s="1" t="s">
        <v>20</v>
      </c>
      <c r="J2244" s="1" t="str">
        <f t="shared" si="305"/>
        <v>Закрито</v>
      </c>
      <c r="K2244" s="5">
        <v>45617</v>
      </c>
      <c r="L2244" s="1" t="s">
        <v>20</v>
      </c>
      <c r="M2244" s="1" t="s">
        <v>22</v>
      </c>
      <c r="N2244" s="5">
        <v>45617</v>
      </c>
    </row>
    <row r="2245" spans="1:14" x14ac:dyDescent="0.3">
      <c r="A2245" s="1" t="str">
        <f>"3_1402/4-11/2024/Р"</f>
        <v>3_1402/4-11/2024/Р</v>
      </c>
      <c r="B2245" s="6">
        <v>45617</v>
      </c>
      <c r="C2245" s="1" t="str">
        <f>"00060"</f>
        <v>00060</v>
      </c>
      <c r="D2245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45" s="1" t="s">
        <v>20</v>
      </c>
      <c r="F2245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45" s="1" t="str">
        <f>"Юридична особа"</f>
        <v>Юридична особа</v>
      </c>
      <c r="H2245" s="1" t="str">
        <f>"РОГАТИНСЬКА МІСЬКА РАДА"</f>
        <v>РОГАТИНСЬКА МІСЬКА РАДА</v>
      </c>
      <c r="I2245" s="1" t="str">
        <f>"04054323"</f>
        <v>04054323</v>
      </c>
      <c r="J2245" s="1" t="str">
        <f t="shared" si="305"/>
        <v>Закрито</v>
      </c>
      <c r="K2245" s="5">
        <v>45617</v>
      </c>
      <c r="L2245" s="1" t="s">
        <v>20</v>
      </c>
      <c r="M2245" s="1" t="s">
        <v>22</v>
      </c>
      <c r="N2245" s="5">
        <v>45617</v>
      </c>
    </row>
    <row r="2246" spans="1:14" x14ac:dyDescent="0.3">
      <c r="A2246" s="1" t="str">
        <f>"1_5970/2129-11/2024/Я"</f>
        <v>1_5970/2129-11/2024/Я</v>
      </c>
      <c r="B2246" s="6">
        <v>45617</v>
      </c>
      <c r="C2246" s="1" t="str">
        <f>"01217"</f>
        <v>01217</v>
      </c>
      <c r="D2246" s="2" t="str">
        <f>"Реєстрація місця проживання дитини до 14 років"</f>
        <v>Реєстрація місця проживання дитини до 14 років</v>
      </c>
      <c r="E2246" s="1" t="s">
        <v>20</v>
      </c>
      <c r="F224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46" s="1" t="str">
        <f>"Фізична особа"</f>
        <v>Фізична особа</v>
      </c>
      <c r="H2246" s="1" t="s">
        <v>20</v>
      </c>
      <c r="I2246" s="1" t="s">
        <v>20</v>
      </c>
      <c r="J2246" s="1" t="str">
        <f t="shared" si="305"/>
        <v>Закрито</v>
      </c>
      <c r="K2246" s="5">
        <v>45617</v>
      </c>
      <c r="L2246" s="1" t="str">
        <f>"45.42"</f>
        <v>45.42</v>
      </c>
      <c r="M2246" s="1" t="s">
        <v>22</v>
      </c>
      <c r="N2246" s="5">
        <v>45617</v>
      </c>
    </row>
    <row r="2247" spans="1:14" x14ac:dyDescent="0.3">
      <c r="A2247" s="1" t="str">
        <f>"3_1403/4-11/2024/Р"</f>
        <v>3_1403/4-11/2024/Р</v>
      </c>
      <c r="B2247" s="6">
        <v>45617</v>
      </c>
      <c r="C2247" s="1" t="str">
        <f>"00060"</f>
        <v>00060</v>
      </c>
      <c r="D2247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47" s="1" t="s">
        <v>20</v>
      </c>
      <c r="F2247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47" s="1" t="str">
        <f>"Юридична особа"</f>
        <v>Юридична особа</v>
      </c>
      <c r="H2247" s="1" t="str">
        <f>"РОГАТИНСЬКА МІСЬКА РАДА"</f>
        <v>РОГАТИНСЬКА МІСЬКА РАДА</v>
      </c>
      <c r="I2247" s="1" t="str">
        <f>"04054323"</f>
        <v>04054323</v>
      </c>
      <c r="J2247" s="1" t="str">
        <f t="shared" si="305"/>
        <v>Закрито</v>
      </c>
      <c r="K2247" s="5">
        <v>45617</v>
      </c>
      <c r="L2247" s="1" t="s">
        <v>20</v>
      </c>
      <c r="M2247" s="1" t="s">
        <v>22</v>
      </c>
      <c r="N2247" s="5">
        <v>45617</v>
      </c>
    </row>
    <row r="2248" spans="1:14" x14ac:dyDescent="0.3">
      <c r="A2248" s="1" t="str">
        <f>"16_687-11/2024/Г"</f>
        <v>16_687-11/2024/Г</v>
      </c>
      <c r="B2248" s="6">
        <v>45617</v>
      </c>
      <c r="C2248" s="1" t="str">
        <f>"00038"</f>
        <v>00038</v>
      </c>
      <c r="D224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48" s="1" t="s">
        <v>20</v>
      </c>
      <c r="F224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48" s="1" t="str">
        <f>"Фізична особа"</f>
        <v>Фізична особа</v>
      </c>
      <c r="H2248" s="1" t="s">
        <v>20</v>
      </c>
      <c r="I2248" s="1" t="s">
        <v>20</v>
      </c>
      <c r="J2248" s="1" t="str">
        <f t="shared" si="305"/>
        <v>Закрито</v>
      </c>
      <c r="K2248" s="5">
        <v>45617</v>
      </c>
      <c r="L2248" s="1" t="s">
        <v>20</v>
      </c>
      <c r="M2248" s="1" t="s">
        <v>22</v>
      </c>
      <c r="N2248" s="5">
        <v>45617</v>
      </c>
    </row>
    <row r="2249" spans="1:14" x14ac:dyDescent="0.3">
      <c r="A2249" s="1" t="str">
        <f>"3_1404/4-11/2024/Р"</f>
        <v>3_1404/4-11/2024/Р</v>
      </c>
      <c r="B2249" s="6">
        <v>45617</v>
      </c>
      <c r="C2249" s="1" t="str">
        <f>"00060"</f>
        <v>00060</v>
      </c>
      <c r="D2249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49" s="1" t="s">
        <v>20</v>
      </c>
      <c r="F2249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49" s="1" t="str">
        <f>"Юридична особа"</f>
        <v>Юридична особа</v>
      </c>
      <c r="H2249" s="1" t="str">
        <f>"РОГАТИНСЬКА МІСЬКА РАДА"</f>
        <v>РОГАТИНСЬКА МІСЬКА РАДА</v>
      </c>
      <c r="I2249" s="1" t="str">
        <f>"04054323"</f>
        <v>04054323</v>
      </c>
      <c r="J2249" s="1" t="str">
        <f t="shared" si="305"/>
        <v>Закрито</v>
      </c>
      <c r="K2249" s="5">
        <v>45617</v>
      </c>
      <c r="L2249" s="1" t="s">
        <v>20</v>
      </c>
      <c r="M2249" s="1" t="s">
        <v>22</v>
      </c>
      <c r="N2249" s="5">
        <v>45617</v>
      </c>
    </row>
    <row r="2250" spans="1:14" x14ac:dyDescent="0.3">
      <c r="A2250" s="1" t="str">
        <f>"3_1405/4-11/2024/Р"</f>
        <v>3_1405/4-11/2024/Р</v>
      </c>
      <c r="B2250" s="6">
        <v>45617</v>
      </c>
      <c r="C2250" s="1" t="str">
        <f>"00060"</f>
        <v>00060</v>
      </c>
      <c r="D2250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50" s="1" t="s">
        <v>20</v>
      </c>
      <c r="F2250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50" s="1" t="str">
        <f>"Юридична особа"</f>
        <v>Юридична особа</v>
      </c>
      <c r="H2250" s="1" t="str">
        <f>"РОГАТИНСЬКА МІСЬКА РАДА"</f>
        <v>РОГАТИНСЬКА МІСЬКА РАДА</v>
      </c>
      <c r="I2250" s="1" t="str">
        <f>"04054323"</f>
        <v>04054323</v>
      </c>
      <c r="J2250" s="1" t="str">
        <f t="shared" si="305"/>
        <v>Закрито</v>
      </c>
      <c r="K2250" s="5">
        <v>45617</v>
      </c>
      <c r="L2250" s="1" t="s">
        <v>20</v>
      </c>
      <c r="M2250" s="1" t="s">
        <v>22</v>
      </c>
      <c r="N2250" s="5">
        <v>45617</v>
      </c>
    </row>
    <row r="2251" spans="1:14" x14ac:dyDescent="0.3">
      <c r="A2251" s="1" t="str">
        <f>"1_5971/2129-11/2024/Я"</f>
        <v>1_5971/2129-11/2024/Я</v>
      </c>
      <c r="B2251" s="6">
        <v>45617</v>
      </c>
      <c r="C2251" s="1" t="str">
        <f>"00038"</f>
        <v>00038</v>
      </c>
      <c r="D225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51" s="1" t="s">
        <v>20</v>
      </c>
      <c r="F22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51" s="1" t="str">
        <f t="shared" ref="G2251:G2259" si="306">"Фізична особа"</f>
        <v>Фізична особа</v>
      </c>
      <c r="H2251" s="1" t="s">
        <v>20</v>
      </c>
      <c r="I2251" s="1" t="s">
        <v>20</v>
      </c>
      <c r="J2251" s="1" t="str">
        <f t="shared" si="305"/>
        <v>Закрито</v>
      </c>
      <c r="K2251" s="5">
        <v>45617</v>
      </c>
      <c r="L2251" s="1" t="s">
        <v>20</v>
      </c>
      <c r="M2251" s="1" t="s">
        <v>22</v>
      </c>
      <c r="N2251" s="5">
        <v>45617</v>
      </c>
    </row>
    <row r="2252" spans="1:14" x14ac:dyDescent="0.3">
      <c r="A2252" s="1" t="str">
        <f>"1_5972/2129-11/2024/Я"</f>
        <v>1_5972/2129-11/2024/Я</v>
      </c>
      <c r="B2252" s="6">
        <v>45617</v>
      </c>
      <c r="C2252" s="1" t="str">
        <f>"01217"</f>
        <v>01217</v>
      </c>
      <c r="D2252" s="2" t="str">
        <f>"Реєстрація місця проживання дитини до 14 років"</f>
        <v>Реєстрація місця проживання дитини до 14 років</v>
      </c>
      <c r="E2252" s="1" t="s">
        <v>20</v>
      </c>
      <c r="F22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52" s="1" t="str">
        <f t="shared" si="306"/>
        <v>Фізична особа</v>
      </c>
      <c r="H2252" s="1" t="s">
        <v>20</v>
      </c>
      <c r="I2252" s="1" t="s">
        <v>20</v>
      </c>
      <c r="J2252" s="1" t="str">
        <f t="shared" si="305"/>
        <v>Закрито</v>
      </c>
      <c r="K2252" s="5">
        <v>45617</v>
      </c>
      <c r="L2252" s="1" t="str">
        <f>"45.42"</f>
        <v>45.42</v>
      </c>
      <c r="M2252" s="1" t="s">
        <v>22</v>
      </c>
      <c r="N2252" s="5">
        <v>45617</v>
      </c>
    </row>
    <row r="2253" spans="1:14" x14ac:dyDescent="0.3">
      <c r="A2253" s="1" t="str">
        <f>"33_420-11/2024/Д"</f>
        <v>33_420-11/2024/Д</v>
      </c>
      <c r="B2253" s="6">
        <v>45617</v>
      </c>
      <c r="C2253" s="1" t="str">
        <f>"00155"</f>
        <v>00155</v>
      </c>
      <c r="D2253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253" s="1" t="str">
        <f>"03193413"</f>
        <v>03193413</v>
      </c>
      <c r="F225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253" s="1" t="str">
        <f t="shared" si="306"/>
        <v>Фізична особа</v>
      </c>
      <c r="H2253" s="1" t="s">
        <v>20</v>
      </c>
      <c r="I2253" s="1" t="s">
        <v>20</v>
      </c>
      <c r="J2253" s="1" t="str">
        <f t="shared" si="305"/>
        <v>Закрито</v>
      </c>
      <c r="K2253" s="5">
        <v>45628</v>
      </c>
      <c r="L2253" s="1" t="s">
        <v>20</v>
      </c>
      <c r="M2253" s="1" t="s">
        <v>22</v>
      </c>
      <c r="N2253" s="5">
        <v>45629</v>
      </c>
    </row>
    <row r="2254" spans="1:14" x14ac:dyDescent="0.3">
      <c r="A2254" s="1" t="str">
        <f>"1_5973/2129-11/2024/Я"</f>
        <v>1_5973/2129-11/2024/Я</v>
      </c>
      <c r="B2254" s="6">
        <v>45617</v>
      </c>
      <c r="C2254" s="1" t="str">
        <f>"00038"</f>
        <v>00038</v>
      </c>
      <c r="D225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54" s="1" t="s">
        <v>20</v>
      </c>
      <c r="F2254" s="1" t="str">
        <f t="shared" ref="F2254:F2259" si="307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54" s="1" t="str">
        <f t="shared" si="306"/>
        <v>Фізична особа</v>
      </c>
      <c r="H2254" s="1" t="s">
        <v>20</v>
      </c>
      <c r="I2254" s="1" t="s">
        <v>20</v>
      </c>
      <c r="J2254" s="1" t="str">
        <f t="shared" si="305"/>
        <v>Закрито</v>
      </c>
      <c r="K2254" s="5">
        <v>45617</v>
      </c>
      <c r="L2254" s="1" t="s">
        <v>20</v>
      </c>
      <c r="M2254" s="1" t="s">
        <v>22</v>
      </c>
      <c r="N2254" s="5">
        <v>45617</v>
      </c>
    </row>
    <row r="2255" spans="1:14" x14ac:dyDescent="0.3">
      <c r="A2255" s="1" t="str">
        <f>"1_5974/2129-11/2024/Я"</f>
        <v>1_5974/2129-11/2024/Я</v>
      </c>
      <c r="B2255" s="6">
        <v>45617</v>
      </c>
      <c r="C2255" s="1" t="str">
        <f>"01217"</f>
        <v>01217</v>
      </c>
      <c r="D2255" s="2" t="str">
        <f>"Реєстрація місця проживання дитини до 14 років"</f>
        <v>Реєстрація місця проживання дитини до 14 років</v>
      </c>
      <c r="E2255" s="1" t="s">
        <v>20</v>
      </c>
      <c r="F2255" s="1" t="str">
        <f t="shared" si="307"/>
        <v>Центр надання адміністративних послуг Рогатинської міської ради</v>
      </c>
      <c r="G2255" s="1" t="str">
        <f t="shared" si="306"/>
        <v>Фізична особа</v>
      </c>
      <c r="H2255" s="1" t="s">
        <v>20</v>
      </c>
      <c r="I2255" s="1" t="s">
        <v>20</v>
      </c>
      <c r="J2255" s="1" t="str">
        <f t="shared" si="305"/>
        <v>Закрито</v>
      </c>
      <c r="K2255" s="5">
        <v>45617</v>
      </c>
      <c r="L2255" s="1" t="str">
        <f>"45.42"</f>
        <v>45.42</v>
      </c>
      <c r="M2255" s="1" t="s">
        <v>22</v>
      </c>
      <c r="N2255" s="5">
        <v>45617</v>
      </c>
    </row>
    <row r="2256" spans="1:14" x14ac:dyDescent="0.3">
      <c r="A2256" s="1" t="str">
        <f>"1_5975/2129-11/2024/Я"</f>
        <v>1_5975/2129-11/2024/Я</v>
      </c>
      <c r="B2256" s="6">
        <v>45617</v>
      </c>
      <c r="C2256" s="1" t="str">
        <f>"00038"</f>
        <v>00038</v>
      </c>
      <c r="D225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56" s="1" t="s">
        <v>20</v>
      </c>
      <c r="F2256" s="1" t="str">
        <f t="shared" si="307"/>
        <v>Центр надання адміністративних послуг Рогатинської міської ради</v>
      </c>
      <c r="G2256" s="1" t="str">
        <f t="shared" si="306"/>
        <v>Фізична особа</v>
      </c>
      <c r="H2256" s="1" t="s">
        <v>20</v>
      </c>
      <c r="I2256" s="1" t="s">
        <v>20</v>
      </c>
      <c r="J2256" s="1" t="str">
        <f t="shared" si="305"/>
        <v>Закрито</v>
      </c>
      <c r="K2256" s="5">
        <v>45617</v>
      </c>
      <c r="L2256" s="1" t="s">
        <v>20</v>
      </c>
      <c r="M2256" s="1" t="s">
        <v>22</v>
      </c>
      <c r="N2256" s="5">
        <v>45617</v>
      </c>
    </row>
    <row r="2257" spans="1:14" x14ac:dyDescent="0.3">
      <c r="A2257" s="1" t="str">
        <f>"1_5976/2129-11/2024/Я"</f>
        <v>1_5976/2129-11/2024/Я</v>
      </c>
      <c r="B2257" s="6">
        <v>45617</v>
      </c>
      <c r="C2257" s="1" t="str">
        <f>"01217"</f>
        <v>01217</v>
      </c>
      <c r="D2257" s="2" t="str">
        <f>"Реєстрація місця проживання дитини до 14 років"</f>
        <v>Реєстрація місця проживання дитини до 14 років</v>
      </c>
      <c r="E2257" s="1" t="s">
        <v>20</v>
      </c>
      <c r="F2257" s="1" t="str">
        <f t="shared" si="307"/>
        <v>Центр надання адміністративних послуг Рогатинської міської ради</v>
      </c>
      <c r="G2257" s="1" t="str">
        <f t="shared" si="306"/>
        <v>Фізична особа</v>
      </c>
      <c r="H2257" s="1" t="s">
        <v>20</v>
      </c>
      <c r="I2257" s="1" t="s">
        <v>20</v>
      </c>
      <c r="J2257" s="1" t="str">
        <f t="shared" si="305"/>
        <v>Закрито</v>
      </c>
      <c r="K2257" s="5">
        <v>45617</v>
      </c>
      <c r="L2257" s="1" t="str">
        <f>"45.42"</f>
        <v>45.42</v>
      </c>
      <c r="M2257" s="1" t="s">
        <v>22</v>
      </c>
      <c r="N2257" s="5">
        <v>45617</v>
      </c>
    </row>
    <row r="2258" spans="1:14" x14ac:dyDescent="0.3">
      <c r="A2258" s="1" t="str">
        <f>"1_5977/2129-11/2024/Я"</f>
        <v>1_5977/2129-11/2024/Я</v>
      </c>
      <c r="B2258" s="6">
        <v>45617</v>
      </c>
      <c r="C2258" s="1" t="str">
        <f>"00038"</f>
        <v>00038</v>
      </c>
      <c r="D225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58" s="1" t="s">
        <v>20</v>
      </c>
      <c r="F2258" s="1" t="str">
        <f t="shared" si="307"/>
        <v>Центр надання адміністративних послуг Рогатинської міської ради</v>
      </c>
      <c r="G2258" s="1" t="str">
        <f t="shared" si="306"/>
        <v>Фізична особа</v>
      </c>
      <c r="H2258" s="1" t="s">
        <v>20</v>
      </c>
      <c r="I2258" s="1" t="s">
        <v>20</v>
      </c>
      <c r="J2258" s="1" t="str">
        <f t="shared" si="305"/>
        <v>Закрито</v>
      </c>
      <c r="K2258" s="5">
        <v>45617</v>
      </c>
      <c r="L2258" s="1" t="s">
        <v>20</v>
      </c>
      <c r="M2258" s="1" t="s">
        <v>22</v>
      </c>
      <c r="N2258" s="5">
        <v>45617</v>
      </c>
    </row>
    <row r="2259" spans="1:14" x14ac:dyDescent="0.3">
      <c r="A2259" s="1" t="str">
        <f>"16_688-11/2024/К"</f>
        <v>16_688-11/2024/К</v>
      </c>
      <c r="B2259" s="6">
        <v>45617</v>
      </c>
      <c r="C2259" s="1" t="str">
        <f>"33"</f>
        <v>33</v>
      </c>
      <c r="D2259" s="2" t="str">
        <f>"33 Довідки різного характеру"</f>
        <v>33 Довідки різного характеру</v>
      </c>
      <c r="E2259" s="1" t="s">
        <v>20</v>
      </c>
      <c r="F2259" s="1" t="str">
        <f t="shared" si="307"/>
        <v>Центр надання адміністративних послуг Рогатинської міської ради</v>
      </c>
      <c r="G2259" s="1" t="str">
        <f t="shared" si="306"/>
        <v>Фізична особа</v>
      </c>
      <c r="H2259" s="1" t="s">
        <v>20</v>
      </c>
      <c r="I2259" s="1" t="s">
        <v>20</v>
      </c>
      <c r="J2259" s="1" t="str">
        <f t="shared" si="305"/>
        <v>Закрито</v>
      </c>
      <c r="K2259" s="5">
        <v>45617</v>
      </c>
      <c r="L2259" s="1" t="s">
        <v>20</v>
      </c>
      <c r="M2259" s="1" t="s">
        <v>22</v>
      </c>
      <c r="N2259" s="5">
        <v>45617</v>
      </c>
    </row>
    <row r="2260" spans="1:14" x14ac:dyDescent="0.3">
      <c r="A2260" s="1" t="str">
        <f>"3_1406/4-11/2024/Р"</f>
        <v>3_1406/4-11/2024/Р</v>
      </c>
      <c r="B2260" s="6">
        <v>45617</v>
      </c>
      <c r="C2260" s="1" t="str">
        <f>"00060"</f>
        <v>00060</v>
      </c>
      <c r="D2260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60" s="1" t="s">
        <v>20</v>
      </c>
      <c r="F2260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60" s="1" t="str">
        <f>"Юридична особа"</f>
        <v>Юридична особа</v>
      </c>
      <c r="H2260" s="1" t="str">
        <f>"РОГАТИНСЬКА МІСЬКА РАДА"</f>
        <v>РОГАТИНСЬКА МІСЬКА РАДА</v>
      </c>
      <c r="I2260" s="1" t="str">
        <f>"04054323"</f>
        <v>04054323</v>
      </c>
      <c r="J2260" s="1" t="str">
        <f t="shared" si="305"/>
        <v>Закрито</v>
      </c>
      <c r="K2260" s="5">
        <v>45617</v>
      </c>
      <c r="L2260" s="1" t="s">
        <v>20</v>
      </c>
      <c r="M2260" s="1" t="s">
        <v>22</v>
      </c>
      <c r="N2260" s="5">
        <v>45617</v>
      </c>
    </row>
    <row r="2261" spans="1:14" x14ac:dyDescent="0.3">
      <c r="A2261" s="1" t="str">
        <f>"3_1407/4-11/2024/Р"</f>
        <v>3_1407/4-11/2024/Р</v>
      </c>
      <c r="B2261" s="6">
        <v>45617</v>
      </c>
      <c r="C2261" s="1" t="str">
        <f>"00060"</f>
        <v>00060</v>
      </c>
      <c r="D2261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61" s="1" t="s">
        <v>20</v>
      </c>
      <c r="F2261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61" s="1" t="str">
        <f>"Юридична особа"</f>
        <v>Юридична особа</v>
      </c>
      <c r="H2261" s="1" t="str">
        <f>"РОГАТИНСЬКА МІСЬКА РАДА"</f>
        <v>РОГАТИНСЬКА МІСЬКА РАДА</v>
      </c>
      <c r="I2261" s="1" t="str">
        <f>"04054323"</f>
        <v>04054323</v>
      </c>
      <c r="J2261" s="1" t="str">
        <f t="shared" si="305"/>
        <v>Закрито</v>
      </c>
      <c r="K2261" s="5">
        <v>45617</v>
      </c>
      <c r="L2261" s="1" t="s">
        <v>20</v>
      </c>
      <c r="M2261" s="1" t="s">
        <v>22</v>
      </c>
      <c r="N2261" s="5">
        <v>45617</v>
      </c>
    </row>
    <row r="2262" spans="1:14" x14ac:dyDescent="0.3">
      <c r="A2262" s="1" t="str">
        <f>"3_1408/4-11/2024/Р"</f>
        <v>3_1408/4-11/2024/Р</v>
      </c>
      <c r="B2262" s="6">
        <v>45617</v>
      </c>
      <c r="C2262" s="1" t="str">
        <f>"00060"</f>
        <v>00060</v>
      </c>
      <c r="D2262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62" s="1" t="s">
        <v>20</v>
      </c>
      <c r="F2262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62" s="1" t="str">
        <f>"Юридична особа"</f>
        <v>Юридична особа</v>
      </c>
      <c r="H2262" s="1" t="str">
        <f>"РОГАТИНСЬКА МІСЬКА РАДА"</f>
        <v>РОГАТИНСЬКА МІСЬКА РАДА</v>
      </c>
      <c r="I2262" s="1" t="str">
        <f>"04054323"</f>
        <v>04054323</v>
      </c>
      <c r="J2262" s="1" t="str">
        <f t="shared" si="305"/>
        <v>Закрито</v>
      </c>
      <c r="K2262" s="5">
        <v>45617</v>
      </c>
      <c r="L2262" s="1" t="s">
        <v>20</v>
      </c>
      <c r="M2262" s="1" t="s">
        <v>22</v>
      </c>
      <c r="N2262" s="5">
        <v>45617</v>
      </c>
    </row>
    <row r="2263" spans="1:14" x14ac:dyDescent="0.3">
      <c r="A2263" s="1" t="str">
        <f>"3_1409/4-11/2024/Р"</f>
        <v>3_1409/4-11/2024/Р</v>
      </c>
      <c r="B2263" s="6">
        <v>45617</v>
      </c>
      <c r="C2263" s="1" t="str">
        <f>"00060"</f>
        <v>00060</v>
      </c>
      <c r="D2263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63" s="1" t="s">
        <v>20</v>
      </c>
      <c r="F2263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63" s="1" t="str">
        <f>"Юридична особа"</f>
        <v>Юридична особа</v>
      </c>
      <c r="H2263" s="1" t="str">
        <f>"РОГАТИНСЬКА МІСЬКА РАДА"</f>
        <v>РОГАТИНСЬКА МІСЬКА РАДА</v>
      </c>
      <c r="I2263" s="1" t="str">
        <f>"04054323"</f>
        <v>04054323</v>
      </c>
      <c r="J2263" s="1" t="str">
        <f t="shared" si="305"/>
        <v>Закрито</v>
      </c>
      <c r="K2263" s="5">
        <v>45617</v>
      </c>
      <c r="L2263" s="1" t="s">
        <v>20</v>
      </c>
      <c r="M2263" s="1" t="s">
        <v>22</v>
      </c>
      <c r="N2263" s="5">
        <v>45617</v>
      </c>
    </row>
    <row r="2264" spans="1:14" x14ac:dyDescent="0.3">
      <c r="A2264" s="1" t="str">
        <f>"8_552-11/2024/Л"</f>
        <v>8_552-11/2024/Л</v>
      </c>
      <c r="B2264" s="6">
        <v>45617</v>
      </c>
      <c r="C2264" s="1" t="str">
        <f>"33"</f>
        <v>33</v>
      </c>
      <c r="D2264" s="2" t="str">
        <f>"33 Довідки різного характеру"</f>
        <v>33 Довідки різного характеру</v>
      </c>
      <c r="E2264" s="1" t="s">
        <v>20</v>
      </c>
      <c r="F22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64" s="1" t="str">
        <f>"Фізична особа"</f>
        <v>Фізична особа</v>
      </c>
      <c r="H2264" s="1" t="s">
        <v>20</v>
      </c>
      <c r="I2264" s="1" t="s">
        <v>20</v>
      </c>
      <c r="J2264" s="1" t="str">
        <f t="shared" si="305"/>
        <v>Закрито</v>
      </c>
      <c r="K2264" s="5">
        <v>45617</v>
      </c>
      <c r="L2264" s="1" t="s">
        <v>20</v>
      </c>
      <c r="M2264" s="1" t="s">
        <v>22</v>
      </c>
      <c r="N2264" s="5">
        <v>45617</v>
      </c>
    </row>
    <row r="2265" spans="1:14" x14ac:dyDescent="0.3">
      <c r="A2265" s="1" t="str">
        <f>"3_1410/4-11/2024/Р"</f>
        <v>3_1410/4-11/2024/Р</v>
      </c>
      <c r="B2265" s="6">
        <v>45617</v>
      </c>
      <c r="C2265" s="1" t="str">
        <f>"00060"</f>
        <v>00060</v>
      </c>
      <c r="D2265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65" s="1" t="s">
        <v>20</v>
      </c>
      <c r="F2265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65" s="1" t="str">
        <f>"Юридична особа"</f>
        <v>Юридична особа</v>
      </c>
      <c r="H2265" s="1" t="str">
        <f>"РОГАТИНСЬКА МІСЬКА РАДА"</f>
        <v>РОГАТИНСЬКА МІСЬКА РАДА</v>
      </c>
      <c r="I2265" s="1" t="str">
        <f>"04054323"</f>
        <v>04054323</v>
      </c>
      <c r="J2265" s="1" t="str">
        <f t="shared" si="305"/>
        <v>Закрито</v>
      </c>
      <c r="K2265" s="5">
        <v>45625</v>
      </c>
      <c r="L2265" s="1" t="s">
        <v>20</v>
      </c>
      <c r="M2265" s="1" t="s">
        <v>22</v>
      </c>
      <c r="N2265" s="5">
        <v>45625</v>
      </c>
    </row>
    <row r="2266" spans="1:14" x14ac:dyDescent="0.3">
      <c r="A2266" s="1" t="str">
        <f>"3_1411/4-11/2024/Р"</f>
        <v>3_1411/4-11/2024/Р</v>
      </c>
      <c r="B2266" s="6">
        <v>45617</v>
      </c>
      <c r="C2266" s="1" t="str">
        <f>"00060"</f>
        <v>00060</v>
      </c>
      <c r="D2266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66" s="1" t="s">
        <v>20</v>
      </c>
      <c r="F2266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66" s="1" t="str">
        <f>"Юридична особа"</f>
        <v>Юридична особа</v>
      </c>
      <c r="H2266" s="1" t="str">
        <f>"РОГАТИНСЬКА МІСЬКА РАДА"</f>
        <v>РОГАТИНСЬКА МІСЬКА РАДА</v>
      </c>
      <c r="I2266" s="1" t="str">
        <f>"04054323"</f>
        <v>04054323</v>
      </c>
      <c r="J2266" s="1" t="str">
        <f t="shared" si="305"/>
        <v>Закрито</v>
      </c>
      <c r="K2266" s="5">
        <v>45617</v>
      </c>
      <c r="L2266" s="1" t="s">
        <v>20</v>
      </c>
      <c r="M2266" s="1" t="s">
        <v>22</v>
      </c>
      <c r="N2266" s="5">
        <v>45617</v>
      </c>
    </row>
    <row r="2267" spans="1:14" x14ac:dyDescent="0.3">
      <c r="A2267" s="1" t="str">
        <f>"8_553-11/2024/А"</f>
        <v>8_553-11/2024/А</v>
      </c>
      <c r="B2267" s="6">
        <v>45617</v>
      </c>
      <c r="C2267" s="1" t="str">
        <f>"33"</f>
        <v>33</v>
      </c>
      <c r="D2267" s="2" t="str">
        <f>"33 Довідки різного характеру"</f>
        <v>33 Довідки різного характеру</v>
      </c>
      <c r="E2267" s="1" t="s">
        <v>20</v>
      </c>
      <c r="F226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67" s="1" t="str">
        <f>"Фізична особа"</f>
        <v>Фізична особа</v>
      </c>
      <c r="H2267" s="1" t="s">
        <v>20</v>
      </c>
      <c r="I2267" s="1" t="s">
        <v>20</v>
      </c>
      <c r="J2267" s="1" t="str">
        <f t="shared" si="305"/>
        <v>Закрито</v>
      </c>
      <c r="K2267" s="5">
        <v>45617</v>
      </c>
      <c r="L2267" s="1" t="s">
        <v>20</v>
      </c>
      <c r="M2267" s="1" t="s">
        <v>22</v>
      </c>
      <c r="N2267" s="5">
        <v>45617</v>
      </c>
    </row>
    <row r="2268" spans="1:14" x14ac:dyDescent="0.3">
      <c r="A2268" s="1" t="str">
        <f>"3_1412/4-11/2024/Р"</f>
        <v>3_1412/4-11/2024/Р</v>
      </c>
      <c r="B2268" s="6">
        <v>45617</v>
      </c>
      <c r="C2268" s="1" t="str">
        <f>"00060"</f>
        <v>00060</v>
      </c>
      <c r="D2268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68" s="1" t="s">
        <v>20</v>
      </c>
      <c r="F2268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68" s="1" t="str">
        <f>"Юридична особа"</f>
        <v>Юридична особа</v>
      </c>
      <c r="H2268" s="1" t="str">
        <f>"РОГАТИНСЬКА МІСЬКА РАДА"</f>
        <v>РОГАТИНСЬКА МІСЬКА РАДА</v>
      </c>
      <c r="I2268" s="1" t="str">
        <f>"04054323"</f>
        <v>04054323</v>
      </c>
      <c r="J2268" s="1" t="str">
        <f t="shared" si="305"/>
        <v>Закрито</v>
      </c>
      <c r="K2268" s="5">
        <v>45617</v>
      </c>
      <c r="L2268" s="1" t="s">
        <v>20</v>
      </c>
      <c r="M2268" s="1" t="s">
        <v>22</v>
      </c>
      <c r="N2268" s="5">
        <v>45617</v>
      </c>
    </row>
    <row r="2269" spans="1:14" x14ac:dyDescent="0.3">
      <c r="A2269" s="1" t="str">
        <f>"9_1685/04054323-11/2024/Р"</f>
        <v>9_1685/04054323-11/2024/Р</v>
      </c>
      <c r="B2269" s="6">
        <v>45617</v>
      </c>
      <c r="C2269" s="1" t="str">
        <f>"00153"</f>
        <v>00153</v>
      </c>
      <c r="D2269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2269" s="1" t="str">
        <f>"04054323"</f>
        <v>04054323</v>
      </c>
      <c r="F2269" s="1" t="str">
        <f>"Рогатинська міська рада"</f>
        <v>Рогатинська міська рада</v>
      </c>
      <c r="G2269" s="1" t="str">
        <f>"Юридична особа"</f>
        <v>Юридична особа</v>
      </c>
      <c r="H2269" s="1" t="str">
        <f>"Рогатинська міська Рогатинська міська рада"</f>
        <v>Рогатинська міська Рогатинська міська рада</v>
      </c>
      <c r="I2269" s="1" t="str">
        <f>"04054323"</f>
        <v>04054323</v>
      </c>
      <c r="J2269" s="1" t="str">
        <f t="shared" si="305"/>
        <v>Закрито</v>
      </c>
      <c r="K2269" s="5">
        <v>45642</v>
      </c>
      <c r="L2269" s="1" t="s">
        <v>20</v>
      </c>
      <c r="M2269" s="1" t="s">
        <v>22</v>
      </c>
      <c r="N2269" s="5">
        <v>45642</v>
      </c>
    </row>
    <row r="2270" spans="1:14" x14ac:dyDescent="0.3">
      <c r="A2270" s="1" t="str">
        <f>"3_1413/4-11/2024/Р"</f>
        <v>3_1413/4-11/2024/Р</v>
      </c>
      <c r="B2270" s="6">
        <v>45617</v>
      </c>
      <c r="C2270" s="1" t="str">
        <f>"00060"</f>
        <v>00060</v>
      </c>
      <c r="D2270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70" s="1" t="s">
        <v>20</v>
      </c>
      <c r="F2270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70" s="1" t="str">
        <f>"Юридична особа"</f>
        <v>Юридична особа</v>
      </c>
      <c r="H2270" s="1" t="str">
        <f>"РОГАТИНСЬКА МІСЬКА РАДА"</f>
        <v>РОГАТИНСЬКА МІСЬКА РАДА</v>
      </c>
      <c r="I2270" s="1" t="str">
        <f>"04054323"</f>
        <v>04054323</v>
      </c>
      <c r="J2270" s="1" t="str">
        <f t="shared" si="305"/>
        <v>Закрито</v>
      </c>
      <c r="K2270" s="5">
        <v>45617</v>
      </c>
      <c r="L2270" s="1" t="s">
        <v>20</v>
      </c>
      <c r="M2270" s="1" t="s">
        <v>22</v>
      </c>
      <c r="N2270" s="5">
        <v>45617</v>
      </c>
    </row>
    <row r="2271" spans="1:14" x14ac:dyDescent="0.3">
      <c r="A2271" s="1" t="str">
        <f>"3_1414/4-11/2024/Р"</f>
        <v>3_1414/4-11/2024/Р</v>
      </c>
      <c r="B2271" s="6">
        <v>45617</v>
      </c>
      <c r="C2271" s="1" t="str">
        <f>"00060"</f>
        <v>00060</v>
      </c>
      <c r="D2271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71" s="1" t="s">
        <v>20</v>
      </c>
      <c r="F2271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71" s="1" t="str">
        <f>"Юридична особа"</f>
        <v>Юридична особа</v>
      </c>
      <c r="H2271" s="1" t="str">
        <f>"РОГАТИНСЬКА МІСЬКА РАДА"</f>
        <v>РОГАТИНСЬКА МІСЬКА РАДА</v>
      </c>
      <c r="I2271" s="1" t="str">
        <f>"04054323"</f>
        <v>04054323</v>
      </c>
      <c r="J2271" s="1" t="str">
        <f t="shared" si="305"/>
        <v>Закрито</v>
      </c>
      <c r="K2271" s="5">
        <v>45617</v>
      </c>
      <c r="L2271" s="1" t="s">
        <v>20</v>
      </c>
      <c r="M2271" s="1" t="s">
        <v>22</v>
      </c>
      <c r="N2271" s="5">
        <v>45617</v>
      </c>
    </row>
    <row r="2272" spans="1:14" x14ac:dyDescent="0.3">
      <c r="A2272" s="1" t="str">
        <f>"3_1415/4-11/2024/Р"</f>
        <v>3_1415/4-11/2024/Р</v>
      </c>
      <c r="B2272" s="6">
        <v>45617</v>
      </c>
      <c r="C2272" s="1" t="str">
        <f>"00060"</f>
        <v>00060</v>
      </c>
      <c r="D2272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72" s="1" t="s">
        <v>20</v>
      </c>
      <c r="F2272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72" s="1" t="str">
        <f>"Юридична особа"</f>
        <v>Юридична особа</v>
      </c>
      <c r="H2272" s="1" t="str">
        <f>"РОГАТИНСЬКА МІСЬКА РАДА"</f>
        <v>РОГАТИНСЬКА МІСЬКА РАДА</v>
      </c>
      <c r="I2272" s="1" t="str">
        <f>"04054323"</f>
        <v>04054323</v>
      </c>
      <c r="J2272" s="1" t="str">
        <f t="shared" si="305"/>
        <v>Закрито</v>
      </c>
      <c r="K2272" s="5">
        <v>45617</v>
      </c>
      <c r="L2272" s="1" t="s">
        <v>20</v>
      </c>
      <c r="M2272" s="1" t="s">
        <v>22</v>
      </c>
      <c r="N2272" s="5">
        <v>45617</v>
      </c>
    </row>
    <row r="2273" spans="1:14" x14ac:dyDescent="0.3">
      <c r="A2273" s="1" t="str">
        <f>"9_1686/04054323-11/2024/М"</f>
        <v>9_1686/04054323-11/2024/М</v>
      </c>
      <c r="B2273" s="6">
        <v>45617</v>
      </c>
      <c r="C2273" s="1" t="str">
        <f>"01-1"</f>
        <v>01-1</v>
      </c>
      <c r="D2273" s="2" t="s">
        <v>0</v>
      </c>
      <c r="E2273" s="1" t="str">
        <f>"04054323"</f>
        <v>04054323</v>
      </c>
      <c r="F2273" s="1" t="str">
        <f>"Рогатинська міська рада"</f>
        <v>Рогатинська міська рада</v>
      </c>
      <c r="G2273" s="1" t="str">
        <f>"Фізична особа"</f>
        <v>Фізична особа</v>
      </c>
      <c r="H2273" s="1" t="s">
        <v>20</v>
      </c>
      <c r="I2273" s="1" t="s">
        <v>20</v>
      </c>
      <c r="J2273" s="1" t="str">
        <f>"На обробці в СНАП"</f>
        <v>На обробці в СНАП</v>
      </c>
      <c r="K2273" s="1" t="s">
        <v>20</v>
      </c>
      <c r="L2273" s="1" t="s">
        <v>20</v>
      </c>
      <c r="M2273" s="1" t="s">
        <v>22</v>
      </c>
      <c r="N2273" s="1" t="s">
        <v>20</v>
      </c>
    </row>
    <row r="2274" spans="1:14" x14ac:dyDescent="0.3">
      <c r="A2274" s="1" t="str">
        <f>"3_1416/4-11/2024/Р"</f>
        <v>3_1416/4-11/2024/Р</v>
      </c>
      <c r="B2274" s="6">
        <v>45617</v>
      </c>
      <c r="C2274" s="1" t="str">
        <f>"00060"</f>
        <v>00060</v>
      </c>
      <c r="D2274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74" s="1" t="s">
        <v>20</v>
      </c>
      <c r="F2274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74" s="1" t="str">
        <f>"Юридична особа"</f>
        <v>Юридична особа</v>
      </c>
      <c r="H2274" s="1" t="str">
        <f>"РОГАТИНСЬКА МІСЬКА РАДА"</f>
        <v>РОГАТИНСЬКА МІСЬКА РАДА</v>
      </c>
      <c r="I2274" s="1" t="str">
        <f>"04054323"</f>
        <v>04054323</v>
      </c>
      <c r="J2274" s="1" t="str">
        <f t="shared" ref="J2274:J2285" si="308">"Закрито"</f>
        <v>Закрито</v>
      </c>
      <c r="K2274" s="5">
        <v>45617</v>
      </c>
      <c r="L2274" s="1" t="s">
        <v>20</v>
      </c>
      <c r="M2274" s="1" t="s">
        <v>22</v>
      </c>
      <c r="N2274" s="5">
        <v>45617</v>
      </c>
    </row>
    <row r="2275" spans="1:14" x14ac:dyDescent="0.3">
      <c r="A2275" s="1" t="str">
        <f>"3_1417/4-11/2024/Р"</f>
        <v>3_1417/4-11/2024/Р</v>
      </c>
      <c r="B2275" s="6">
        <v>45617</v>
      </c>
      <c r="C2275" s="1" t="str">
        <f>"00060"</f>
        <v>00060</v>
      </c>
      <c r="D2275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75" s="1" t="s">
        <v>20</v>
      </c>
      <c r="F2275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75" s="1" t="str">
        <f>"Юридична особа"</f>
        <v>Юридична особа</v>
      </c>
      <c r="H2275" s="1" t="str">
        <f>"РОГАТИНСЬКА МІСЬКА РАДА"</f>
        <v>РОГАТИНСЬКА МІСЬКА РАДА</v>
      </c>
      <c r="I2275" s="1" t="str">
        <f>"04054323"</f>
        <v>04054323</v>
      </c>
      <c r="J2275" s="1" t="str">
        <f t="shared" si="308"/>
        <v>Закрито</v>
      </c>
      <c r="K2275" s="5">
        <v>45617</v>
      </c>
      <c r="L2275" s="1" t="s">
        <v>20</v>
      </c>
      <c r="M2275" s="1" t="s">
        <v>22</v>
      </c>
      <c r="N2275" s="5">
        <v>45617</v>
      </c>
    </row>
    <row r="2276" spans="1:14" x14ac:dyDescent="0.3">
      <c r="A2276" s="1" t="str">
        <f>"3_1418/4-11/2024/Р"</f>
        <v>3_1418/4-11/2024/Р</v>
      </c>
      <c r="B2276" s="6">
        <v>45617</v>
      </c>
      <c r="C2276" s="1" t="str">
        <f>"00060"</f>
        <v>00060</v>
      </c>
      <c r="D2276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76" s="1" t="s">
        <v>20</v>
      </c>
      <c r="F2276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76" s="1" t="str">
        <f>"Юридична особа"</f>
        <v>Юридична особа</v>
      </c>
      <c r="H2276" s="1" t="str">
        <f>"РОГАТИНСЬКА МІСЬКА РАДА"</f>
        <v>РОГАТИНСЬКА МІСЬКА РАДА</v>
      </c>
      <c r="I2276" s="1" t="str">
        <f>"04054323"</f>
        <v>04054323</v>
      </c>
      <c r="J2276" s="1" t="str">
        <f t="shared" si="308"/>
        <v>Закрито</v>
      </c>
      <c r="K2276" s="5">
        <v>45617</v>
      </c>
      <c r="L2276" s="1" t="s">
        <v>20</v>
      </c>
      <c r="M2276" s="1" t="s">
        <v>22</v>
      </c>
      <c r="N2276" s="5">
        <v>45617</v>
      </c>
    </row>
    <row r="2277" spans="1:14" x14ac:dyDescent="0.3">
      <c r="A2277" s="1" t="str">
        <f>"3_1419/4-11/2024/Р"</f>
        <v>3_1419/4-11/2024/Р</v>
      </c>
      <c r="B2277" s="6">
        <v>45617</v>
      </c>
      <c r="C2277" s="1" t="str">
        <f>"00060"</f>
        <v>00060</v>
      </c>
      <c r="D2277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77" s="1" t="s">
        <v>20</v>
      </c>
      <c r="F2277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77" s="1" t="str">
        <f>"Юридична особа"</f>
        <v>Юридична особа</v>
      </c>
      <c r="H2277" s="1" t="str">
        <f>"РОГАТИНСЬКА МІСЬКА РАДА"</f>
        <v>РОГАТИНСЬКА МІСЬКА РАДА</v>
      </c>
      <c r="I2277" s="1" t="str">
        <f>"04054323"</f>
        <v>04054323</v>
      </c>
      <c r="J2277" s="1" t="str">
        <f t="shared" si="308"/>
        <v>Закрито</v>
      </c>
      <c r="K2277" s="5">
        <v>45617</v>
      </c>
      <c r="L2277" s="1" t="s">
        <v>20</v>
      </c>
      <c r="M2277" s="1" t="s">
        <v>22</v>
      </c>
      <c r="N2277" s="5">
        <v>45617</v>
      </c>
    </row>
    <row r="2278" spans="1:14" x14ac:dyDescent="0.3">
      <c r="A2278" s="1" t="str">
        <f>"27_594-11/2024/К"</f>
        <v>27_594-11/2024/К</v>
      </c>
      <c r="B2278" s="6">
        <v>45617</v>
      </c>
      <c r="C2278" s="1" t="str">
        <f>"00038"</f>
        <v>00038</v>
      </c>
      <c r="D227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78" s="1" t="s">
        <v>20</v>
      </c>
      <c r="F2278" s="1" t="str">
        <f t="shared" ref="F2278:F2285" si="309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78" s="1" t="str">
        <f t="shared" ref="G2278:G2309" si="310">"Фізична особа"</f>
        <v>Фізична особа</v>
      </c>
      <c r="H2278" s="1" t="s">
        <v>20</v>
      </c>
      <c r="I2278" s="1" t="s">
        <v>20</v>
      </c>
      <c r="J2278" s="1" t="str">
        <f t="shared" si="308"/>
        <v>Закрито</v>
      </c>
      <c r="K2278" s="5">
        <v>45617</v>
      </c>
      <c r="L2278" s="1" t="s">
        <v>20</v>
      </c>
      <c r="M2278" s="1" t="s">
        <v>22</v>
      </c>
      <c r="N2278" s="5">
        <v>45617</v>
      </c>
    </row>
    <row r="2279" spans="1:14" x14ac:dyDescent="0.3">
      <c r="A2279" s="1" t="str">
        <f>"1_5978/2129-11/2024/З"</f>
        <v>1_5978/2129-11/2024/З</v>
      </c>
      <c r="B2279" s="6">
        <v>45617</v>
      </c>
      <c r="C2279" s="1" t="str">
        <f>"00038"</f>
        <v>00038</v>
      </c>
      <c r="D227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79" s="1" t="s">
        <v>20</v>
      </c>
      <c r="F2279" s="1" t="str">
        <f t="shared" si="309"/>
        <v>Центр надання адміністративних послуг Рогатинської міської ради</v>
      </c>
      <c r="G2279" s="1" t="str">
        <f t="shared" si="310"/>
        <v>Фізична особа</v>
      </c>
      <c r="H2279" s="1" t="s">
        <v>20</v>
      </c>
      <c r="I2279" s="1" t="s">
        <v>20</v>
      </c>
      <c r="J2279" s="1" t="str">
        <f t="shared" si="308"/>
        <v>Закрито</v>
      </c>
      <c r="K2279" s="5">
        <v>45617</v>
      </c>
      <c r="L2279" s="1" t="s">
        <v>20</v>
      </c>
      <c r="M2279" s="1" t="s">
        <v>22</v>
      </c>
      <c r="N2279" s="5">
        <v>45617</v>
      </c>
    </row>
    <row r="2280" spans="1:14" x14ac:dyDescent="0.3">
      <c r="A2280" s="1" t="str">
        <f>"1_726-11/2024/П"</f>
        <v>1_726-11/2024/П</v>
      </c>
      <c r="B2280" s="6">
        <v>45617</v>
      </c>
      <c r="C2280" s="1" t="str">
        <f>"01245"</f>
        <v>01245</v>
      </c>
      <c r="D2280" s="2" t="str">
        <f>"Видача довідки про реєстрацію/останнє місце проживання спадкодавця (довідка для оформлення спадщини)"</f>
        <v>Видача довідки про реєстрацію/останнє місце проживання спадкодавця (довідка для оформлення спадщини)</v>
      </c>
      <c r="E2280" s="1" t="s">
        <v>20</v>
      </c>
      <c r="F2280" s="1" t="str">
        <f t="shared" si="309"/>
        <v>Центр надання адміністративних послуг Рогатинської міської ради</v>
      </c>
      <c r="G2280" s="1" t="str">
        <f t="shared" si="310"/>
        <v>Фізична особа</v>
      </c>
      <c r="H2280" s="1" t="s">
        <v>20</v>
      </c>
      <c r="I2280" s="1" t="s">
        <v>20</v>
      </c>
      <c r="J2280" s="1" t="str">
        <f t="shared" si="308"/>
        <v>Закрито</v>
      </c>
      <c r="K2280" s="5">
        <v>45617</v>
      </c>
      <c r="L2280" s="1" t="s">
        <v>20</v>
      </c>
      <c r="M2280" s="1" t="s">
        <v>22</v>
      </c>
      <c r="N2280" s="5">
        <v>45617</v>
      </c>
    </row>
    <row r="2281" spans="1:14" x14ac:dyDescent="0.3">
      <c r="A2281" s="1" t="str">
        <f>"8_82/2129-11/2024/Ч"</f>
        <v>8_82/2129-11/2024/Ч</v>
      </c>
      <c r="B2281" s="6">
        <v>45617</v>
      </c>
      <c r="C2281" s="1" t="str">
        <f>"00033"</f>
        <v>00033</v>
      </c>
      <c r="D2281" s="2" t="str">
        <f>"Державна реєстрація смерті"</f>
        <v>Державна реєстрація смерті</v>
      </c>
      <c r="E2281" s="1" t="s">
        <v>20</v>
      </c>
      <c r="F2281" s="1" t="str">
        <f t="shared" si="309"/>
        <v>Центр надання адміністративних послуг Рогатинської міської ради</v>
      </c>
      <c r="G2281" s="1" t="str">
        <f t="shared" si="310"/>
        <v>Фізична особа</v>
      </c>
      <c r="H2281" s="1" t="s">
        <v>20</v>
      </c>
      <c r="I2281" s="1" t="s">
        <v>20</v>
      </c>
      <c r="J2281" s="1" t="str">
        <f t="shared" si="308"/>
        <v>Закрито</v>
      </c>
      <c r="K2281" s="5">
        <v>45617</v>
      </c>
      <c r="L2281" s="1" t="s">
        <v>20</v>
      </c>
      <c r="M2281" s="1" t="s">
        <v>22</v>
      </c>
      <c r="N2281" s="5">
        <v>45617</v>
      </c>
    </row>
    <row r="2282" spans="1:14" x14ac:dyDescent="0.3">
      <c r="A2282" s="1" t="str">
        <f>"1_5979/2129-11/2024/Ч"</f>
        <v>1_5979/2129-11/2024/Ч</v>
      </c>
      <c r="B2282" s="6">
        <v>45617</v>
      </c>
      <c r="C2282" s="1" t="str">
        <f>"00037"</f>
        <v>00037</v>
      </c>
      <c r="D2282" s="2" t="str">
        <f>"Зняття з реєстрації місця проживання"</f>
        <v>Зняття з реєстрації місця проживання</v>
      </c>
      <c r="E2282" s="1" t="s">
        <v>20</v>
      </c>
      <c r="F2282" s="1" t="str">
        <f t="shared" si="309"/>
        <v>Центр надання адміністративних послуг Рогатинської міської ради</v>
      </c>
      <c r="G2282" s="1" t="str">
        <f t="shared" si="310"/>
        <v>Фізична особа</v>
      </c>
      <c r="H2282" s="1" t="s">
        <v>20</v>
      </c>
      <c r="I2282" s="1" t="s">
        <v>20</v>
      </c>
      <c r="J2282" s="1" t="str">
        <f t="shared" si="308"/>
        <v>Закрито</v>
      </c>
      <c r="K2282" s="5">
        <v>45617</v>
      </c>
      <c r="L2282" s="1" t="s">
        <v>20</v>
      </c>
      <c r="M2282" s="1" t="s">
        <v>22</v>
      </c>
      <c r="N2282" s="5">
        <v>45617</v>
      </c>
    </row>
    <row r="2283" spans="1:14" x14ac:dyDescent="0.3">
      <c r="A2283" s="1" t="str">
        <f>"8_554-11/2024/В"</f>
        <v>8_554-11/2024/В</v>
      </c>
      <c r="B2283" s="6">
        <v>45617</v>
      </c>
      <c r="C2283" s="1" t="str">
        <f>"00038"</f>
        <v>00038</v>
      </c>
      <c r="D228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83" s="1" t="s">
        <v>20</v>
      </c>
      <c r="F2283" s="1" t="str">
        <f t="shared" si="309"/>
        <v>Центр надання адміністративних послуг Рогатинської міської ради</v>
      </c>
      <c r="G2283" s="1" t="str">
        <f t="shared" si="310"/>
        <v>Фізична особа</v>
      </c>
      <c r="H2283" s="1" t="s">
        <v>20</v>
      </c>
      <c r="I2283" s="1" t="s">
        <v>20</v>
      </c>
      <c r="J2283" s="1" t="str">
        <f t="shared" si="308"/>
        <v>Закрито</v>
      </c>
      <c r="K2283" s="5">
        <v>45617</v>
      </c>
      <c r="L2283" s="1" t="s">
        <v>20</v>
      </c>
      <c r="M2283" s="1" t="s">
        <v>22</v>
      </c>
      <c r="N2283" s="5">
        <v>45617</v>
      </c>
    </row>
    <row r="2284" spans="1:14" x14ac:dyDescent="0.3">
      <c r="A2284" s="1" t="str">
        <f>"1_5980/2129-11/2024/Ч"</f>
        <v>1_5980/2129-11/2024/Ч</v>
      </c>
      <c r="B2284" s="6">
        <v>45617</v>
      </c>
      <c r="C2284" s="1" t="str">
        <f>"00038"</f>
        <v>00038</v>
      </c>
      <c r="D228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84" s="1" t="s">
        <v>20</v>
      </c>
      <c r="F2284" s="1" t="str">
        <f t="shared" si="309"/>
        <v>Центр надання адміністративних послуг Рогатинської міської ради</v>
      </c>
      <c r="G2284" s="1" t="str">
        <f t="shared" si="310"/>
        <v>Фізична особа</v>
      </c>
      <c r="H2284" s="1" t="s">
        <v>20</v>
      </c>
      <c r="I2284" s="1" t="s">
        <v>20</v>
      </c>
      <c r="J2284" s="1" t="str">
        <f t="shared" si="308"/>
        <v>Закрито</v>
      </c>
      <c r="K2284" s="5">
        <v>45617</v>
      </c>
      <c r="L2284" s="1" t="s">
        <v>20</v>
      </c>
      <c r="M2284" s="1" t="s">
        <v>22</v>
      </c>
      <c r="N2284" s="5">
        <v>45617</v>
      </c>
    </row>
    <row r="2285" spans="1:14" x14ac:dyDescent="0.3">
      <c r="A2285" s="1" t="str">
        <f>"5_501-11/2024/С"</f>
        <v>5_501-11/2024/С</v>
      </c>
      <c r="B2285" s="6">
        <v>45617</v>
      </c>
      <c r="C2285" s="1" t="str">
        <f>"00038"</f>
        <v>00038</v>
      </c>
      <c r="D228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85" s="1" t="s">
        <v>20</v>
      </c>
      <c r="F2285" s="1" t="str">
        <f t="shared" si="309"/>
        <v>Центр надання адміністративних послуг Рогатинської міської ради</v>
      </c>
      <c r="G2285" s="1" t="str">
        <f t="shared" si="310"/>
        <v>Фізична особа</v>
      </c>
      <c r="H2285" s="1" t="s">
        <v>20</v>
      </c>
      <c r="I2285" s="1" t="s">
        <v>20</v>
      </c>
      <c r="J2285" s="1" t="str">
        <f t="shared" si="308"/>
        <v>Закрито</v>
      </c>
      <c r="K2285" s="5">
        <v>45617</v>
      </c>
      <c r="L2285" s="1" t="s">
        <v>20</v>
      </c>
      <c r="M2285" s="1" t="s">
        <v>22</v>
      </c>
      <c r="N2285" s="5">
        <v>45617</v>
      </c>
    </row>
    <row r="2286" spans="1:14" x14ac:dyDescent="0.3">
      <c r="A2286" s="1" t="str">
        <f>"22_556-11/2024/К"</f>
        <v>22_556-11/2024/К</v>
      </c>
      <c r="B2286" s="6">
        <v>45617</v>
      </c>
      <c r="C2286" s="1" t="str">
        <f>"00103"</f>
        <v>00103</v>
      </c>
      <c r="D2286" s="2" t="s">
        <v>1</v>
      </c>
      <c r="E2286" s="1" t="str">
        <f>"03193413"</f>
        <v>03193413</v>
      </c>
      <c r="F228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286" s="1" t="str">
        <f t="shared" si="310"/>
        <v>Фізична особа</v>
      </c>
      <c r="H2286" s="1" t="s">
        <v>20</v>
      </c>
      <c r="I2286" s="1" t="s">
        <v>20</v>
      </c>
      <c r="J2286" s="1" t="str">
        <f>"На обробці в СНАП"</f>
        <v>На обробці в СНАП</v>
      </c>
      <c r="K2286" s="1" t="s">
        <v>20</v>
      </c>
      <c r="L2286" s="1" t="s">
        <v>20</v>
      </c>
      <c r="M2286" s="1" t="s">
        <v>22</v>
      </c>
      <c r="N2286" s="1" t="s">
        <v>20</v>
      </c>
    </row>
    <row r="2287" spans="1:14" x14ac:dyDescent="0.3">
      <c r="A2287" s="1" t="str">
        <f>"27_595-11/2024/П"</f>
        <v>27_595-11/2024/П</v>
      </c>
      <c r="B2287" s="6">
        <v>45617</v>
      </c>
      <c r="C2287" s="1" t="str">
        <f>"00155"</f>
        <v>00155</v>
      </c>
      <c r="D2287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287" s="1" t="str">
        <f>"03193413"</f>
        <v>03193413</v>
      </c>
      <c r="F228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287" s="1" t="str">
        <f t="shared" si="310"/>
        <v>Фізична особа</v>
      </c>
      <c r="H2287" s="1" t="s">
        <v>20</v>
      </c>
      <c r="I2287" s="1" t="s">
        <v>20</v>
      </c>
      <c r="J2287" s="1" t="str">
        <f>"На обробці в СНАП"</f>
        <v>На обробці в СНАП</v>
      </c>
      <c r="K2287" s="5">
        <v>45617</v>
      </c>
      <c r="L2287" s="1" t="s">
        <v>20</v>
      </c>
      <c r="M2287" s="1" t="s">
        <v>22</v>
      </c>
      <c r="N2287" s="5">
        <v>45617</v>
      </c>
    </row>
    <row r="2288" spans="1:14" x14ac:dyDescent="0.3">
      <c r="A2288" s="1" t="str">
        <f>"5_502-11/2024/С"</f>
        <v>5_502-11/2024/С</v>
      </c>
      <c r="B2288" s="6">
        <v>45617</v>
      </c>
      <c r="C2288" s="1" t="str">
        <f>"00155"</f>
        <v>00155</v>
      </c>
      <c r="D2288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288" s="1" t="str">
        <f>"03193413"</f>
        <v>03193413</v>
      </c>
      <c r="F228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288" s="1" t="str">
        <f t="shared" si="310"/>
        <v>Фізична особа</v>
      </c>
      <c r="H2288" s="1" t="s">
        <v>20</v>
      </c>
      <c r="I2288" s="1" t="s">
        <v>20</v>
      </c>
      <c r="J2288" s="1" t="str">
        <f>"Закрито"</f>
        <v>Закрито</v>
      </c>
      <c r="K2288" s="5">
        <v>45625</v>
      </c>
      <c r="L2288" s="1" t="s">
        <v>20</v>
      </c>
      <c r="M2288" s="1" t="s">
        <v>22</v>
      </c>
      <c r="N2288" s="5">
        <v>45625</v>
      </c>
    </row>
    <row r="2289" spans="1:14" x14ac:dyDescent="0.3">
      <c r="A2289" s="1" t="str">
        <f>"10_123-11/2024/С"</f>
        <v>10_123-11/2024/С</v>
      </c>
      <c r="B2289" s="6">
        <v>45617</v>
      </c>
      <c r="C2289" s="1" t="str">
        <f>"00038"</f>
        <v>00038</v>
      </c>
      <c r="D228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89" s="1" t="s">
        <v>20</v>
      </c>
      <c r="F228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89" s="1" t="str">
        <f t="shared" si="310"/>
        <v>Фізична особа</v>
      </c>
      <c r="H2289" s="1" t="s">
        <v>20</v>
      </c>
      <c r="I2289" s="1" t="s">
        <v>20</v>
      </c>
      <c r="J2289" s="1" t="str">
        <f>"Закрито"</f>
        <v>Закрито</v>
      </c>
      <c r="K2289" s="5">
        <v>45617</v>
      </c>
      <c r="L2289" s="1" t="s">
        <v>20</v>
      </c>
      <c r="M2289" s="1" t="s">
        <v>22</v>
      </c>
      <c r="N2289" s="5">
        <v>45617</v>
      </c>
    </row>
    <row r="2290" spans="1:14" x14ac:dyDescent="0.3">
      <c r="A2290" s="1" t="str">
        <f>"10_124-11/2024/С"</f>
        <v>10_124-11/2024/С</v>
      </c>
      <c r="B2290" s="6">
        <v>45617</v>
      </c>
      <c r="C2290" s="1" t="str">
        <f>"33"</f>
        <v>33</v>
      </c>
      <c r="D2290" s="2" t="str">
        <f>"33 Довідки різного характеру"</f>
        <v>33 Довідки різного характеру</v>
      </c>
      <c r="E2290" s="1" t="s">
        <v>20</v>
      </c>
      <c r="F229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90" s="1" t="str">
        <f t="shared" si="310"/>
        <v>Фізична особа</v>
      </c>
      <c r="H2290" s="1" t="s">
        <v>20</v>
      </c>
      <c r="I2290" s="1" t="s">
        <v>20</v>
      </c>
      <c r="J2290" s="1" t="str">
        <f>"Закрито"</f>
        <v>Закрито</v>
      </c>
      <c r="K2290" s="5">
        <v>45617</v>
      </c>
      <c r="L2290" s="1" t="s">
        <v>20</v>
      </c>
      <c r="M2290" s="1" t="s">
        <v>22</v>
      </c>
      <c r="N2290" s="5">
        <v>45617</v>
      </c>
    </row>
    <row r="2291" spans="1:14" x14ac:dyDescent="0.3">
      <c r="A2291" s="1" t="str">
        <f>"35_518-11/2024/В"</f>
        <v>35_518-11/2024/В</v>
      </c>
      <c r="B2291" s="6">
        <v>45617</v>
      </c>
      <c r="C2291" s="1" t="str">
        <f>"00038"</f>
        <v>00038</v>
      </c>
      <c r="D229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291" s="1" t="s">
        <v>20</v>
      </c>
      <c r="F229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291" s="1" t="str">
        <f t="shared" si="310"/>
        <v>Фізична особа</v>
      </c>
      <c r="H2291" s="1" t="s">
        <v>20</v>
      </c>
      <c r="I2291" s="1" t="s">
        <v>20</v>
      </c>
      <c r="J2291" s="1" t="str">
        <f>"Закрито"</f>
        <v>Закрито</v>
      </c>
      <c r="K2291" s="5">
        <v>45617</v>
      </c>
      <c r="L2291" s="1" t="s">
        <v>20</v>
      </c>
      <c r="M2291" s="1" t="s">
        <v>22</v>
      </c>
      <c r="N2291" s="5">
        <v>45617</v>
      </c>
    </row>
    <row r="2292" spans="1:14" x14ac:dyDescent="0.3">
      <c r="A2292" s="1" t="str">
        <f>"10_125-11/2024/С"</f>
        <v>10_125-11/2024/С</v>
      </c>
      <c r="B2292" s="6">
        <v>45617</v>
      </c>
      <c r="C2292" s="1" t="str">
        <f>"00155"</f>
        <v>00155</v>
      </c>
      <c r="D2292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292" s="1" t="str">
        <f>"03193413"</f>
        <v>03193413</v>
      </c>
      <c r="F229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292" s="1" t="str">
        <f t="shared" si="310"/>
        <v>Фізична особа</v>
      </c>
      <c r="H2292" s="1" t="s">
        <v>20</v>
      </c>
      <c r="I2292" s="1" t="s">
        <v>20</v>
      </c>
      <c r="J2292" s="1" t="str">
        <f>"Заявника сповіщено про результат"</f>
        <v>Заявника сповіщено про результат</v>
      </c>
      <c r="K2292" s="5">
        <v>45653</v>
      </c>
      <c r="L2292" s="1" t="s">
        <v>20</v>
      </c>
      <c r="M2292" s="1" t="s">
        <v>22</v>
      </c>
      <c r="N2292" s="5">
        <v>45653</v>
      </c>
    </row>
    <row r="2293" spans="1:14" x14ac:dyDescent="0.3">
      <c r="A2293" s="1" t="str">
        <f>"22_557-11/2024/З"</f>
        <v>22_557-11/2024/З</v>
      </c>
      <c r="B2293" s="6">
        <v>45617</v>
      </c>
      <c r="C2293" s="1" t="str">
        <f>"00155"</f>
        <v>00155</v>
      </c>
      <c r="D2293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293" s="1" t="str">
        <f>"03193413"</f>
        <v>03193413</v>
      </c>
      <c r="F229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293" s="1" t="str">
        <f t="shared" si="310"/>
        <v>Фізична особа</v>
      </c>
      <c r="H2293" s="1" t="s">
        <v>20</v>
      </c>
      <c r="I2293" s="1" t="s">
        <v>20</v>
      </c>
      <c r="J2293" s="1" t="str">
        <f>"На обробці в СНАП"</f>
        <v>На обробці в СНАП</v>
      </c>
      <c r="K2293" s="1" t="s">
        <v>20</v>
      </c>
      <c r="L2293" s="1" t="s">
        <v>20</v>
      </c>
      <c r="M2293" s="1" t="s">
        <v>22</v>
      </c>
      <c r="N2293" s="1" t="s">
        <v>20</v>
      </c>
    </row>
    <row r="2294" spans="1:14" x14ac:dyDescent="0.3">
      <c r="A2294" s="1" t="str">
        <f>"22_558-11/2024/З"</f>
        <v>22_558-11/2024/З</v>
      </c>
      <c r="B2294" s="6">
        <v>45617</v>
      </c>
      <c r="C2294" s="1" t="str">
        <f>"00064"</f>
        <v>00064</v>
      </c>
      <c r="D2294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294" s="1" t="s">
        <v>20</v>
      </c>
      <c r="F2294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94" s="1" t="str">
        <f t="shared" si="310"/>
        <v>Фізична особа</v>
      </c>
      <c r="H2294" s="1" t="s">
        <v>20</v>
      </c>
      <c r="I2294" s="1" t="s">
        <v>20</v>
      </c>
      <c r="J2294" s="1" t="str">
        <f>"Зареєстрований"</f>
        <v>Зареєстрований</v>
      </c>
      <c r="K2294" s="1" t="s">
        <v>20</v>
      </c>
      <c r="L2294" s="1" t="s">
        <v>20</v>
      </c>
      <c r="M2294" s="1" t="s">
        <v>22</v>
      </c>
      <c r="N2294" s="1" t="s">
        <v>20</v>
      </c>
    </row>
    <row r="2295" spans="1:14" x14ac:dyDescent="0.3">
      <c r="A2295" s="1" t="str">
        <f>"22_559-11/2024/Б"</f>
        <v>22_559-11/2024/Б</v>
      </c>
      <c r="B2295" s="6">
        <v>45617</v>
      </c>
      <c r="C2295" s="1" t="str">
        <f>"00064"</f>
        <v>00064</v>
      </c>
      <c r="D2295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295" s="1" t="s">
        <v>20</v>
      </c>
      <c r="F2295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95" s="1" t="str">
        <f t="shared" si="310"/>
        <v>Фізична особа</v>
      </c>
      <c r="H2295" s="1" t="s">
        <v>20</v>
      </c>
      <c r="I2295" s="1" t="s">
        <v>20</v>
      </c>
      <c r="J2295" s="1" t="str">
        <f t="shared" ref="J2295:J2300" si="311">"Закрито"</f>
        <v>Закрито</v>
      </c>
      <c r="K2295" s="5">
        <v>45617</v>
      </c>
      <c r="L2295" s="1" t="s">
        <v>20</v>
      </c>
      <c r="M2295" s="1" t="s">
        <v>22</v>
      </c>
      <c r="N2295" s="5">
        <v>45617</v>
      </c>
    </row>
    <row r="2296" spans="1:14" x14ac:dyDescent="0.3">
      <c r="A2296" s="1" t="str">
        <f>"4_1289/03193413-11/2024/В"</f>
        <v>4_1289/03193413-11/2024/В</v>
      </c>
      <c r="B2296" s="6">
        <v>45617</v>
      </c>
      <c r="C2296" s="1" t="str">
        <f>"00155"</f>
        <v>00155</v>
      </c>
      <c r="D2296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296" s="1" t="str">
        <f>"03193413"</f>
        <v>03193413</v>
      </c>
      <c r="F229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296" s="1" t="str">
        <f t="shared" si="310"/>
        <v>Фізична особа</v>
      </c>
      <c r="H2296" s="1" t="s">
        <v>20</v>
      </c>
      <c r="I2296" s="1" t="s">
        <v>20</v>
      </c>
      <c r="J2296" s="1" t="str">
        <f t="shared" si="311"/>
        <v>Закрито</v>
      </c>
      <c r="K2296" s="5">
        <v>45617</v>
      </c>
      <c r="L2296" s="1" t="s">
        <v>20</v>
      </c>
      <c r="M2296" s="1" t="s">
        <v>22</v>
      </c>
      <c r="N2296" s="5">
        <v>45617</v>
      </c>
    </row>
    <row r="2297" spans="1:14" x14ac:dyDescent="0.3">
      <c r="A2297" s="1" t="str">
        <f>"4_1290/03193413-11/2024/Б"</f>
        <v>4_1290/03193413-11/2024/Б</v>
      </c>
      <c r="B2297" s="6">
        <v>45617</v>
      </c>
      <c r="C2297" s="1" t="str">
        <f>"00155"</f>
        <v>00155</v>
      </c>
      <c r="D2297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297" s="1" t="str">
        <f>"03193413"</f>
        <v>03193413</v>
      </c>
      <c r="F229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297" s="1" t="str">
        <f t="shared" si="310"/>
        <v>Фізична особа</v>
      </c>
      <c r="H2297" s="1" t="s">
        <v>20</v>
      </c>
      <c r="I2297" s="1" t="s">
        <v>20</v>
      </c>
      <c r="J2297" s="1" t="str">
        <f t="shared" si="311"/>
        <v>Закрито</v>
      </c>
      <c r="K2297" s="5">
        <v>45622</v>
      </c>
      <c r="L2297" s="1" t="s">
        <v>20</v>
      </c>
      <c r="M2297" s="1" t="s">
        <v>22</v>
      </c>
      <c r="N2297" s="5">
        <v>45622</v>
      </c>
    </row>
    <row r="2298" spans="1:14" x14ac:dyDescent="0.3">
      <c r="A2298" s="1" t="str">
        <f>"16_689-11/2024/М"</f>
        <v>16_689-11/2024/М</v>
      </c>
      <c r="B2298" s="6">
        <v>45617</v>
      </c>
      <c r="C2298" s="1" t="str">
        <f>"00064"</f>
        <v>00064</v>
      </c>
      <c r="D2298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298" s="1" t="s">
        <v>20</v>
      </c>
      <c r="F2298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298" s="1" t="str">
        <f t="shared" si="310"/>
        <v>Фізична особа</v>
      </c>
      <c r="H2298" s="1" t="s">
        <v>20</v>
      </c>
      <c r="I2298" s="1" t="s">
        <v>20</v>
      </c>
      <c r="J2298" s="1" t="str">
        <f t="shared" si="311"/>
        <v>Закрито</v>
      </c>
      <c r="K2298" s="5">
        <v>45617</v>
      </c>
      <c r="L2298" s="1" t="s">
        <v>20</v>
      </c>
      <c r="M2298" s="1" t="s">
        <v>22</v>
      </c>
      <c r="N2298" s="5">
        <v>45617</v>
      </c>
    </row>
    <row r="2299" spans="1:14" x14ac:dyDescent="0.3">
      <c r="A2299" s="1" t="str">
        <f>"4_1291/03193413-11/2024/с"</f>
        <v>4_1291/03193413-11/2024/с</v>
      </c>
      <c r="B2299" s="6">
        <v>45617</v>
      </c>
      <c r="C2299" s="1" t="str">
        <f t="shared" ref="C2299:C2307" si="312">"00155"</f>
        <v>00155</v>
      </c>
      <c r="D2299" s="2" t="str">
        <f t="shared" ref="D2299:D2307" si="313"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299" s="1" t="str">
        <f t="shared" ref="E2299:E2307" si="314">"03193413"</f>
        <v>03193413</v>
      </c>
      <c r="F2299" s="1" t="str">
        <f t="shared" ref="F2299:F2307" si="315"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299" s="1" t="str">
        <f t="shared" si="310"/>
        <v>Фізична особа</v>
      </c>
      <c r="H2299" s="1" t="s">
        <v>20</v>
      </c>
      <c r="I2299" s="1" t="s">
        <v>20</v>
      </c>
      <c r="J2299" s="1" t="str">
        <f t="shared" si="311"/>
        <v>Закрито</v>
      </c>
      <c r="K2299" s="5">
        <v>45622</v>
      </c>
      <c r="L2299" s="1" t="s">
        <v>20</v>
      </c>
      <c r="M2299" s="1" t="s">
        <v>22</v>
      </c>
      <c r="N2299" s="5">
        <v>45622</v>
      </c>
    </row>
    <row r="2300" spans="1:14" x14ac:dyDescent="0.3">
      <c r="A2300" s="1" t="str">
        <f>"4_1292/03193413-11/2024/п"</f>
        <v>4_1292/03193413-11/2024/п</v>
      </c>
      <c r="B2300" s="6">
        <v>45617</v>
      </c>
      <c r="C2300" s="1" t="str">
        <f t="shared" si="312"/>
        <v>00155</v>
      </c>
      <c r="D2300" s="2" t="str">
        <f t="shared" si="313"/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300" s="1" t="str">
        <f t="shared" si="314"/>
        <v>03193413</v>
      </c>
      <c r="F2300" s="1" t="str">
        <f t="shared" si="315"/>
        <v>Управління соціального захисту населення Рогатинське відділення №3 Івано-Франківської райдержадміністрації</v>
      </c>
      <c r="G2300" s="1" t="str">
        <f t="shared" si="310"/>
        <v>Фізична особа</v>
      </c>
      <c r="H2300" s="1" t="s">
        <v>20</v>
      </c>
      <c r="I2300" s="1" t="s">
        <v>20</v>
      </c>
      <c r="J2300" s="1" t="str">
        <f t="shared" si="311"/>
        <v>Закрито</v>
      </c>
      <c r="K2300" s="5">
        <v>45622</v>
      </c>
      <c r="L2300" s="1" t="s">
        <v>20</v>
      </c>
      <c r="M2300" s="1" t="s">
        <v>22</v>
      </c>
      <c r="N2300" s="5">
        <v>45622</v>
      </c>
    </row>
    <row r="2301" spans="1:14" x14ac:dyDescent="0.3">
      <c r="A2301" s="1" t="str">
        <f>"4_1293/03193413-11/2024/Я"</f>
        <v>4_1293/03193413-11/2024/Я</v>
      </c>
      <c r="B2301" s="6">
        <v>45617</v>
      </c>
      <c r="C2301" s="1" t="str">
        <f t="shared" si="312"/>
        <v>00155</v>
      </c>
      <c r="D2301" s="2" t="str">
        <f t="shared" si="313"/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301" s="1" t="str">
        <f t="shared" si="314"/>
        <v>03193413</v>
      </c>
      <c r="F2301" s="1" t="str">
        <f t="shared" si="315"/>
        <v>Управління соціального захисту населення Рогатинське відділення №3 Івано-Франківської райдержадміністрації</v>
      </c>
      <c r="G2301" s="1" t="str">
        <f t="shared" si="310"/>
        <v>Фізична особа</v>
      </c>
      <c r="H2301" s="1" t="s">
        <v>20</v>
      </c>
      <c r="I2301" s="1" t="s">
        <v>20</v>
      </c>
      <c r="J2301" s="1" t="str">
        <f>"Результат підготовлено СНАП"</f>
        <v>Результат підготовлено СНАП</v>
      </c>
      <c r="K2301" s="5">
        <v>45622</v>
      </c>
      <c r="L2301" s="1" t="s">
        <v>20</v>
      </c>
      <c r="M2301" s="1" t="s">
        <v>22</v>
      </c>
      <c r="N2301" s="1" t="s">
        <v>20</v>
      </c>
    </row>
    <row r="2302" spans="1:14" x14ac:dyDescent="0.3">
      <c r="A2302" s="1" t="str">
        <f>"16_690-11/2024/М"</f>
        <v>16_690-11/2024/М</v>
      </c>
      <c r="B2302" s="6">
        <v>45617</v>
      </c>
      <c r="C2302" s="1" t="str">
        <f t="shared" si="312"/>
        <v>00155</v>
      </c>
      <c r="D2302" s="2" t="str">
        <f t="shared" si="313"/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302" s="1" t="str">
        <f t="shared" si="314"/>
        <v>03193413</v>
      </c>
      <c r="F2302" s="1" t="str">
        <f t="shared" si="315"/>
        <v>Управління соціального захисту населення Рогатинське відділення №3 Івано-Франківської райдержадміністрації</v>
      </c>
      <c r="G2302" s="1" t="str">
        <f t="shared" si="310"/>
        <v>Фізична особа</v>
      </c>
      <c r="H2302" s="1" t="s">
        <v>20</v>
      </c>
      <c r="I2302" s="1" t="s">
        <v>20</v>
      </c>
      <c r="J2302" s="1" t="str">
        <f t="shared" ref="J2302:J2310" si="316">"Закрито"</f>
        <v>Закрито</v>
      </c>
      <c r="K2302" s="5">
        <v>45617</v>
      </c>
      <c r="L2302" s="1" t="s">
        <v>20</v>
      </c>
      <c r="M2302" s="1" t="s">
        <v>22</v>
      </c>
      <c r="N2302" s="5">
        <v>45617</v>
      </c>
    </row>
    <row r="2303" spans="1:14" x14ac:dyDescent="0.3">
      <c r="A2303" s="1" t="str">
        <f>"4_1294/03193413-11/2024/Ф"</f>
        <v>4_1294/03193413-11/2024/Ф</v>
      </c>
      <c r="B2303" s="6">
        <v>45617</v>
      </c>
      <c r="C2303" s="1" t="str">
        <f t="shared" si="312"/>
        <v>00155</v>
      </c>
      <c r="D2303" s="2" t="str">
        <f t="shared" si="313"/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303" s="1" t="str">
        <f t="shared" si="314"/>
        <v>03193413</v>
      </c>
      <c r="F2303" s="1" t="str">
        <f t="shared" si="315"/>
        <v>Управління соціального захисту населення Рогатинське відділення №3 Івано-Франківської райдержадміністрації</v>
      </c>
      <c r="G2303" s="1" t="str">
        <f t="shared" si="310"/>
        <v>Фізична особа</v>
      </c>
      <c r="H2303" s="1" t="s">
        <v>20</v>
      </c>
      <c r="I2303" s="1" t="s">
        <v>20</v>
      </c>
      <c r="J2303" s="1" t="str">
        <f t="shared" si="316"/>
        <v>Закрито</v>
      </c>
      <c r="K2303" s="5">
        <v>45622</v>
      </c>
      <c r="L2303" s="1" t="s">
        <v>20</v>
      </c>
      <c r="M2303" s="1" t="s">
        <v>22</v>
      </c>
      <c r="N2303" s="5">
        <v>45622</v>
      </c>
    </row>
    <row r="2304" spans="1:14" x14ac:dyDescent="0.3">
      <c r="A2304" s="1" t="str">
        <f>"16_691-11/2024/М"</f>
        <v>16_691-11/2024/М</v>
      </c>
      <c r="B2304" s="6">
        <v>45617</v>
      </c>
      <c r="C2304" s="1" t="str">
        <f t="shared" si="312"/>
        <v>00155</v>
      </c>
      <c r="D2304" s="2" t="str">
        <f t="shared" si="313"/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304" s="1" t="str">
        <f t="shared" si="314"/>
        <v>03193413</v>
      </c>
      <c r="F2304" s="1" t="str">
        <f t="shared" si="315"/>
        <v>Управління соціального захисту населення Рогатинське відділення №3 Івано-Франківської райдержадміністрації</v>
      </c>
      <c r="G2304" s="1" t="str">
        <f t="shared" si="310"/>
        <v>Фізична особа</v>
      </c>
      <c r="H2304" s="1" t="s">
        <v>20</v>
      </c>
      <c r="I2304" s="1" t="s">
        <v>20</v>
      </c>
      <c r="J2304" s="1" t="str">
        <f t="shared" si="316"/>
        <v>Закрито</v>
      </c>
      <c r="K2304" s="5">
        <v>45639</v>
      </c>
      <c r="L2304" s="1" t="s">
        <v>20</v>
      </c>
      <c r="M2304" s="1" t="s">
        <v>22</v>
      </c>
      <c r="N2304" s="5">
        <v>45639</v>
      </c>
    </row>
    <row r="2305" spans="1:14" x14ac:dyDescent="0.3">
      <c r="A2305" s="1" t="str">
        <f>"4_1295/03193413-11/2024/г"</f>
        <v>4_1295/03193413-11/2024/г</v>
      </c>
      <c r="B2305" s="6">
        <v>45617</v>
      </c>
      <c r="C2305" s="1" t="str">
        <f t="shared" si="312"/>
        <v>00155</v>
      </c>
      <c r="D2305" s="2" t="str">
        <f t="shared" si="313"/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305" s="1" t="str">
        <f t="shared" si="314"/>
        <v>03193413</v>
      </c>
      <c r="F2305" s="1" t="str">
        <f t="shared" si="315"/>
        <v>Управління соціального захисту населення Рогатинське відділення №3 Івано-Франківської райдержадміністрації</v>
      </c>
      <c r="G2305" s="1" t="str">
        <f t="shared" si="310"/>
        <v>Фізична особа</v>
      </c>
      <c r="H2305" s="1" t="s">
        <v>20</v>
      </c>
      <c r="I2305" s="1" t="s">
        <v>20</v>
      </c>
      <c r="J2305" s="1" t="str">
        <f t="shared" si="316"/>
        <v>Закрито</v>
      </c>
      <c r="K2305" s="5">
        <v>45622</v>
      </c>
      <c r="L2305" s="1" t="s">
        <v>20</v>
      </c>
      <c r="M2305" s="1" t="s">
        <v>22</v>
      </c>
      <c r="N2305" s="5">
        <v>45622</v>
      </c>
    </row>
    <row r="2306" spans="1:14" x14ac:dyDescent="0.3">
      <c r="A2306" s="1" t="str">
        <f>"4_1296/03193413-11/2024/Б"</f>
        <v>4_1296/03193413-11/2024/Б</v>
      </c>
      <c r="B2306" s="6">
        <v>45617</v>
      </c>
      <c r="C2306" s="1" t="str">
        <f t="shared" si="312"/>
        <v>00155</v>
      </c>
      <c r="D2306" s="2" t="str">
        <f t="shared" si="313"/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306" s="1" t="str">
        <f t="shared" si="314"/>
        <v>03193413</v>
      </c>
      <c r="F2306" s="1" t="str">
        <f t="shared" si="315"/>
        <v>Управління соціального захисту населення Рогатинське відділення №3 Івано-Франківської райдержадміністрації</v>
      </c>
      <c r="G2306" s="1" t="str">
        <f t="shared" si="310"/>
        <v>Фізична особа</v>
      </c>
      <c r="H2306" s="1" t="s">
        <v>20</v>
      </c>
      <c r="I2306" s="1" t="s">
        <v>20</v>
      </c>
      <c r="J2306" s="1" t="str">
        <f t="shared" si="316"/>
        <v>Закрито</v>
      </c>
      <c r="K2306" s="5">
        <v>45622</v>
      </c>
      <c r="L2306" s="1" t="s">
        <v>20</v>
      </c>
      <c r="M2306" s="1" t="s">
        <v>22</v>
      </c>
      <c r="N2306" s="5">
        <v>45622</v>
      </c>
    </row>
    <row r="2307" spans="1:14" x14ac:dyDescent="0.3">
      <c r="A2307" s="1" t="str">
        <f>"4_1297/03193413-11/2024/Ж"</f>
        <v>4_1297/03193413-11/2024/Ж</v>
      </c>
      <c r="B2307" s="6">
        <v>45617</v>
      </c>
      <c r="C2307" s="1" t="str">
        <f t="shared" si="312"/>
        <v>00155</v>
      </c>
      <c r="D2307" s="2" t="str">
        <f t="shared" si="313"/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307" s="1" t="str">
        <f t="shared" si="314"/>
        <v>03193413</v>
      </c>
      <c r="F2307" s="1" t="str">
        <f t="shared" si="315"/>
        <v>Управління соціального захисту населення Рогатинське відділення №3 Івано-Франківської райдержадміністрації</v>
      </c>
      <c r="G2307" s="1" t="str">
        <f t="shared" si="310"/>
        <v>Фізична особа</v>
      </c>
      <c r="H2307" s="1" t="s">
        <v>20</v>
      </c>
      <c r="I2307" s="1" t="s">
        <v>20</v>
      </c>
      <c r="J2307" s="1" t="str">
        <f t="shared" si="316"/>
        <v>Закрито</v>
      </c>
      <c r="K2307" s="5">
        <v>45622</v>
      </c>
      <c r="L2307" s="1" t="s">
        <v>20</v>
      </c>
      <c r="M2307" s="1" t="s">
        <v>22</v>
      </c>
      <c r="N2307" s="5">
        <v>45622</v>
      </c>
    </row>
    <row r="2308" spans="1:14" x14ac:dyDescent="0.3">
      <c r="A2308" s="1" t="str">
        <f>"10_126-11/2024/М"</f>
        <v>10_126-11/2024/М</v>
      </c>
      <c r="B2308" s="6">
        <v>45617</v>
      </c>
      <c r="C2308" s="1" t="str">
        <f>"00038"</f>
        <v>00038</v>
      </c>
      <c r="D230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08" s="1" t="s">
        <v>20</v>
      </c>
      <c r="F230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08" s="1" t="str">
        <f t="shared" si="310"/>
        <v>Фізична особа</v>
      </c>
      <c r="H2308" s="1" t="s">
        <v>20</v>
      </c>
      <c r="I2308" s="1" t="s">
        <v>20</v>
      </c>
      <c r="J2308" s="1" t="str">
        <f t="shared" si="316"/>
        <v>Закрито</v>
      </c>
      <c r="K2308" s="5">
        <v>45617</v>
      </c>
      <c r="L2308" s="1" t="s">
        <v>20</v>
      </c>
      <c r="M2308" s="1" t="s">
        <v>22</v>
      </c>
      <c r="N2308" s="5">
        <v>45617</v>
      </c>
    </row>
    <row r="2309" spans="1:14" x14ac:dyDescent="0.3">
      <c r="A2309" s="1" t="str">
        <f>"10_127-11/2024/М"</f>
        <v>10_127-11/2024/М</v>
      </c>
      <c r="B2309" s="6">
        <v>45617</v>
      </c>
      <c r="C2309" s="1" t="str">
        <f>"00064"</f>
        <v>00064</v>
      </c>
      <c r="D2309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309" s="1" t="s">
        <v>20</v>
      </c>
      <c r="F2309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309" s="1" t="str">
        <f t="shared" si="310"/>
        <v>Фізична особа</v>
      </c>
      <c r="H2309" s="1" t="s">
        <v>20</v>
      </c>
      <c r="I2309" s="1" t="s">
        <v>20</v>
      </c>
      <c r="J2309" s="1" t="str">
        <f t="shared" si="316"/>
        <v>Закрито</v>
      </c>
      <c r="K2309" s="5">
        <v>45617</v>
      </c>
      <c r="L2309" s="1" t="s">
        <v>20</v>
      </c>
      <c r="M2309" s="1" t="s">
        <v>22</v>
      </c>
      <c r="N2309" s="5">
        <v>45617</v>
      </c>
    </row>
    <row r="2310" spans="1:14" x14ac:dyDescent="0.3">
      <c r="A2310" s="1" t="str">
        <f>"10_128-11/2024/М"</f>
        <v>10_128-11/2024/М</v>
      </c>
      <c r="B2310" s="6">
        <v>45617</v>
      </c>
      <c r="C2310" s="1" t="str">
        <f>"33"</f>
        <v>33</v>
      </c>
      <c r="D2310" s="2" t="str">
        <f>"33 Довідки різного характеру"</f>
        <v>33 Довідки різного характеру</v>
      </c>
      <c r="E2310" s="1" t="s">
        <v>20</v>
      </c>
      <c r="F231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10" s="1" t="str">
        <f t="shared" ref="G2310:G2341" si="317">"Фізична особа"</f>
        <v>Фізична особа</v>
      </c>
      <c r="H2310" s="1" t="s">
        <v>20</v>
      </c>
      <c r="I2310" s="1" t="s">
        <v>20</v>
      </c>
      <c r="J2310" s="1" t="str">
        <f t="shared" si="316"/>
        <v>Закрито</v>
      </c>
      <c r="K2310" s="5">
        <v>45617</v>
      </c>
      <c r="L2310" s="1" t="s">
        <v>20</v>
      </c>
      <c r="M2310" s="1" t="s">
        <v>22</v>
      </c>
      <c r="N2310" s="5">
        <v>45617</v>
      </c>
    </row>
    <row r="2311" spans="1:14" x14ac:dyDescent="0.3">
      <c r="A2311" s="1" t="str">
        <f>"10_129-11/2024/М"</f>
        <v>10_129-11/2024/М</v>
      </c>
      <c r="B2311" s="6">
        <v>45617</v>
      </c>
      <c r="C2311" s="1" t="str">
        <f>"00133"</f>
        <v>00133</v>
      </c>
      <c r="D2311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311" s="1" t="str">
        <f>"03193413"</f>
        <v>03193413</v>
      </c>
      <c r="F231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11" s="1" t="str">
        <f t="shared" si="317"/>
        <v>Фізична особа</v>
      </c>
      <c r="H2311" s="1" t="s">
        <v>20</v>
      </c>
      <c r="I2311" s="1" t="s">
        <v>20</v>
      </c>
      <c r="J2311" s="1" t="str">
        <f>"Заявника сповіщено про результат"</f>
        <v>Заявника сповіщено про результат</v>
      </c>
      <c r="K2311" s="5">
        <v>45653</v>
      </c>
      <c r="L2311" s="1" t="s">
        <v>20</v>
      </c>
      <c r="M2311" s="1" t="s">
        <v>22</v>
      </c>
      <c r="N2311" s="5">
        <v>45653</v>
      </c>
    </row>
    <row r="2312" spans="1:14" x14ac:dyDescent="0.3">
      <c r="A2312" s="1" t="str">
        <f>"12_898-11/2024/А"</f>
        <v>12_898-11/2024/А</v>
      </c>
      <c r="B2312" s="6">
        <v>45617</v>
      </c>
      <c r="C2312" s="1" t="str">
        <f>"00038"</f>
        <v>00038</v>
      </c>
      <c r="D231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12" s="1" t="s">
        <v>20</v>
      </c>
      <c r="F2312" s="1" t="str">
        <f t="shared" ref="F2312:F2320" si="318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12" s="1" t="str">
        <f t="shared" si="317"/>
        <v>Фізична особа</v>
      </c>
      <c r="H2312" s="1" t="s">
        <v>20</v>
      </c>
      <c r="I2312" s="1" t="s">
        <v>20</v>
      </c>
      <c r="J2312" s="1" t="str">
        <f t="shared" ref="J2312:J2320" si="319">"Закрито"</f>
        <v>Закрито</v>
      </c>
      <c r="K2312" s="5">
        <v>45617</v>
      </c>
      <c r="L2312" s="1" t="s">
        <v>20</v>
      </c>
      <c r="M2312" s="1" t="s">
        <v>22</v>
      </c>
      <c r="N2312" s="5">
        <v>45617</v>
      </c>
    </row>
    <row r="2313" spans="1:14" x14ac:dyDescent="0.3">
      <c r="A2313" s="1" t="str">
        <f>"14_1020-11/2024/Р"</f>
        <v>14_1020-11/2024/Р</v>
      </c>
      <c r="B2313" s="6">
        <v>45617</v>
      </c>
      <c r="C2313" s="1" t="str">
        <f>"00038"</f>
        <v>00038</v>
      </c>
      <c r="D231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13" s="1" t="s">
        <v>20</v>
      </c>
      <c r="F2313" s="1" t="str">
        <f t="shared" si="318"/>
        <v>Центр надання адміністративних послуг Рогатинської міської ради</v>
      </c>
      <c r="G2313" s="1" t="str">
        <f t="shared" si="317"/>
        <v>Фізична особа</v>
      </c>
      <c r="H2313" s="1" t="s">
        <v>20</v>
      </c>
      <c r="I2313" s="1" t="s">
        <v>20</v>
      </c>
      <c r="J2313" s="1" t="str">
        <f t="shared" si="319"/>
        <v>Закрито</v>
      </c>
      <c r="K2313" s="5">
        <v>45617</v>
      </c>
      <c r="L2313" s="1" t="str">
        <f>"45.42"</f>
        <v>45.42</v>
      </c>
      <c r="M2313" s="1" t="s">
        <v>22</v>
      </c>
      <c r="N2313" s="5">
        <v>45617</v>
      </c>
    </row>
    <row r="2314" spans="1:14" x14ac:dyDescent="0.3">
      <c r="A2314" s="1" t="str">
        <f>"14_1021-11/2024/Р"</f>
        <v>14_1021-11/2024/Р</v>
      </c>
      <c r="B2314" s="6">
        <v>45617</v>
      </c>
      <c r="C2314" s="1" t="str">
        <f>"01217"</f>
        <v>01217</v>
      </c>
      <c r="D2314" s="2" t="str">
        <f>"Реєстрація місця проживання дитини до 14 років"</f>
        <v>Реєстрація місця проживання дитини до 14 років</v>
      </c>
      <c r="E2314" s="1" t="s">
        <v>20</v>
      </c>
      <c r="F2314" s="1" t="str">
        <f t="shared" si="318"/>
        <v>Центр надання адміністративних послуг Рогатинської міської ради</v>
      </c>
      <c r="G2314" s="1" t="str">
        <f t="shared" si="317"/>
        <v>Фізична особа</v>
      </c>
      <c r="H2314" s="1" t="s">
        <v>20</v>
      </c>
      <c r="I2314" s="1" t="s">
        <v>20</v>
      </c>
      <c r="J2314" s="1" t="str">
        <f t="shared" si="319"/>
        <v>Закрито</v>
      </c>
      <c r="K2314" s="5">
        <v>45617</v>
      </c>
      <c r="L2314" s="1" t="str">
        <f>"45.42"</f>
        <v>45.42</v>
      </c>
      <c r="M2314" s="1" t="s">
        <v>22</v>
      </c>
      <c r="N2314" s="5">
        <v>45617</v>
      </c>
    </row>
    <row r="2315" spans="1:14" x14ac:dyDescent="0.3">
      <c r="A2315" s="1" t="str">
        <f>"8_555-11/2024/Я"</f>
        <v>8_555-11/2024/Я</v>
      </c>
      <c r="B2315" s="6">
        <v>45617</v>
      </c>
      <c r="C2315" s="1" t="str">
        <f t="shared" ref="C2315:C2320" si="320">"00038"</f>
        <v>00038</v>
      </c>
      <c r="D2315" s="2" t="str">
        <f t="shared" ref="D2315:D2320" si="321"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15" s="1" t="s">
        <v>20</v>
      </c>
      <c r="F2315" s="1" t="str">
        <f t="shared" si="318"/>
        <v>Центр надання адміністративних послуг Рогатинської міської ради</v>
      </c>
      <c r="G2315" s="1" t="str">
        <f t="shared" si="317"/>
        <v>Фізична особа</v>
      </c>
      <c r="H2315" s="1" t="s">
        <v>20</v>
      </c>
      <c r="I2315" s="1" t="s">
        <v>20</v>
      </c>
      <c r="J2315" s="1" t="str">
        <f t="shared" si="319"/>
        <v>Закрито</v>
      </c>
      <c r="K2315" s="5">
        <v>45617</v>
      </c>
      <c r="L2315" s="1" t="s">
        <v>20</v>
      </c>
      <c r="M2315" s="1" t="s">
        <v>22</v>
      </c>
      <c r="N2315" s="5">
        <v>45617</v>
      </c>
    </row>
    <row r="2316" spans="1:14" x14ac:dyDescent="0.3">
      <c r="A2316" s="1" t="str">
        <f>"1_5981/2129-11/2024/Б"</f>
        <v>1_5981/2129-11/2024/Б</v>
      </c>
      <c r="B2316" s="6">
        <v>45617</v>
      </c>
      <c r="C2316" s="1" t="str">
        <f t="shared" si="320"/>
        <v>00038</v>
      </c>
      <c r="D2316" s="2" t="str">
        <f t="shared" si="321"/>
        <v>Видача довідки про реєстрацію місця проживання або місця перебування особи</v>
      </c>
      <c r="E2316" s="1" t="s">
        <v>20</v>
      </c>
      <c r="F2316" s="1" t="str">
        <f t="shared" si="318"/>
        <v>Центр надання адміністративних послуг Рогатинської міської ради</v>
      </c>
      <c r="G2316" s="1" t="str">
        <f t="shared" si="317"/>
        <v>Фізична особа</v>
      </c>
      <c r="H2316" s="1" t="s">
        <v>20</v>
      </c>
      <c r="I2316" s="1" t="s">
        <v>20</v>
      </c>
      <c r="J2316" s="1" t="str">
        <f t="shared" si="319"/>
        <v>Закрито</v>
      </c>
      <c r="K2316" s="5">
        <v>45617</v>
      </c>
      <c r="L2316" s="1" t="s">
        <v>20</v>
      </c>
      <c r="M2316" s="1" t="s">
        <v>22</v>
      </c>
      <c r="N2316" s="5">
        <v>45617</v>
      </c>
    </row>
    <row r="2317" spans="1:14" x14ac:dyDescent="0.3">
      <c r="A2317" s="1" t="str">
        <f>"1_5982/2129-11/2024/Б"</f>
        <v>1_5982/2129-11/2024/Б</v>
      </c>
      <c r="B2317" s="6">
        <v>45617</v>
      </c>
      <c r="C2317" s="1" t="str">
        <f t="shared" si="320"/>
        <v>00038</v>
      </c>
      <c r="D2317" s="2" t="str">
        <f t="shared" si="321"/>
        <v>Видача довідки про реєстрацію місця проживання або місця перебування особи</v>
      </c>
      <c r="E2317" s="1" t="s">
        <v>20</v>
      </c>
      <c r="F2317" s="1" t="str">
        <f t="shared" si="318"/>
        <v>Центр надання адміністративних послуг Рогатинської міської ради</v>
      </c>
      <c r="G2317" s="1" t="str">
        <f t="shared" si="317"/>
        <v>Фізична особа</v>
      </c>
      <c r="H2317" s="1" t="s">
        <v>20</v>
      </c>
      <c r="I2317" s="1" t="s">
        <v>20</v>
      </c>
      <c r="J2317" s="1" t="str">
        <f t="shared" si="319"/>
        <v>Закрито</v>
      </c>
      <c r="K2317" s="5">
        <v>45617</v>
      </c>
      <c r="L2317" s="1" t="s">
        <v>20</v>
      </c>
      <c r="M2317" s="1" t="s">
        <v>22</v>
      </c>
      <c r="N2317" s="5">
        <v>45617</v>
      </c>
    </row>
    <row r="2318" spans="1:14" x14ac:dyDescent="0.3">
      <c r="A2318" s="1" t="str">
        <f>"1_5983/2129-11/2024/Б"</f>
        <v>1_5983/2129-11/2024/Б</v>
      </c>
      <c r="B2318" s="6">
        <v>45617</v>
      </c>
      <c r="C2318" s="1" t="str">
        <f t="shared" si="320"/>
        <v>00038</v>
      </c>
      <c r="D2318" s="2" t="str">
        <f t="shared" si="321"/>
        <v>Видача довідки про реєстрацію місця проживання або місця перебування особи</v>
      </c>
      <c r="E2318" s="1" t="s">
        <v>20</v>
      </c>
      <c r="F2318" s="1" t="str">
        <f t="shared" si="318"/>
        <v>Центр надання адміністративних послуг Рогатинської міської ради</v>
      </c>
      <c r="G2318" s="1" t="str">
        <f t="shared" si="317"/>
        <v>Фізична особа</v>
      </c>
      <c r="H2318" s="1" t="s">
        <v>20</v>
      </c>
      <c r="I2318" s="1" t="s">
        <v>20</v>
      </c>
      <c r="J2318" s="1" t="str">
        <f t="shared" si="319"/>
        <v>Закрито</v>
      </c>
      <c r="K2318" s="5">
        <v>45617</v>
      </c>
      <c r="L2318" s="1" t="s">
        <v>20</v>
      </c>
      <c r="M2318" s="1" t="s">
        <v>22</v>
      </c>
      <c r="N2318" s="5">
        <v>45617</v>
      </c>
    </row>
    <row r="2319" spans="1:14" x14ac:dyDescent="0.3">
      <c r="A2319" s="1" t="str">
        <f>"12_899-11/2024/Ф"</f>
        <v>12_899-11/2024/Ф</v>
      </c>
      <c r="B2319" s="6">
        <v>45617</v>
      </c>
      <c r="C2319" s="1" t="str">
        <f t="shared" si="320"/>
        <v>00038</v>
      </c>
      <c r="D2319" s="2" t="str">
        <f t="shared" si="321"/>
        <v>Видача довідки про реєстрацію місця проживання або місця перебування особи</v>
      </c>
      <c r="E2319" s="1" t="s">
        <v>20</v>
      </c>
      <c r="F2319" s="1" t="str">
        <f t="shared" si="318"/>
        <v>Центр надання адміністративних послуг Рогатинської міської ради</v>
      </c>
      <c r="G2319" s="1" t="str">
        <f t="shared" si="317"/>
        <v>Фізична особа</v>
      </c>
      <c r="H2319" s="1" t="s">
        <v>20</v>
      </c>
      <c r="I2319" s="1" t="s">
        <v>20</v>
      </c>
      <c r="J2319" s="1" t="str">
        <f t="shared" si="319"/>
        <v>Закрито</v>
      </c>
      <c r="K2319" s="5">
        <v>45617</v>
      </c>
      <c r="L2319" s="1" t="s">
        <v>20</v>
      </c>
      <c r="M2319" s="1" t="s">
        <v>22</v>
      </c>
      <c r="N2319" s="5">
        <v>45617</v>
      </c>
    </row>
    <row r="2320" spans="1:14" x14ac:dyDescent="0.3">
      <c r="A2320" s="1" t="str">
        <f>"12_900-11/2024/Ф"</f>
        <v>12_900-11/2024/Ф</v>
      </c>
      <c r="B2320" s="6">
        <v>45617</v>
      </c>
      <c r="C2320" s="1" t="str">
        <f t="shared" si="320"/>
        <v>00038</v>
      </c>
      <c r="D2320" s="2" t="str">
        <f t="shared" si="321"/>
        <v>Видача довідки про реєстрацію місця проживання або місця перебування особи</v>
      </c>
      <c r="E2320" s="1" t="s">
        <v>20</v>
      </c>
      <c r="F2320" s="1" t="str">
        <f t="shared" si="318"/>
        <v>Центр надання адміністративних послуг Рогатинської міської ради</v>
      </c>
      <c r="G2320" s="1" t="str">
        <f t="shared" si="317"/>
        <v>Фізична особа</v>
      </c>
      <c r="H2320" s="1" t="s">
        <v>20</v>
      </c>
      <c r="I2320" s="1" t="s">
        <v>20</v>
      </c>
      <c r="J2320" s="1" t="str">
        <f t="shared" si="319"/>
        <v>Закрито</v>
      </c>
      <c r="K2320" s="5">
        <v>45617</v>
      </c>
      <c r="L2320" s="1" t="s">
        <v>20</v>
      </c>
      <c r="M2320" s="1" t="s">
        <v>22</v>
      </c>
      <c r="N2320" s="5">
        <v>45617</v>
      </c>
    </row>
    <row r="2321" spans="1:14" x14ac:dyDescent="0.3">
      <c r="A2321" s="1" t="str">
        <f>"12_901-11/2024/Ф"</f>
        <v>12_901-11/2024/Ф</v>
      </c>
      <c r="B2321" s="6">
        <v>45617</v>
      </c>
      <c r="C2321" s="1" t="str">
        <f>"00155"</f>
        <v>00155</v>
      </c>
      <c r="D2321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321" s="1" t="str">
        <f>"03193413"</f>
        <v>03193413</v>
      </c>
      <c r="F232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21" s="1" t="str">
        <f t="shared" si="317"/>
        <v>Фізична особа</v>
      </c>
      <c r="H2321" s="1" t="s">
        <v>20</v>
      </c>
      <c r="I2321" s="1" t="s">
        <v>20</v>
      </c>
      <c r="J2321" s="1" t="str">
        <f>"На обробці в СНАП"</f>
        <v>На обробці в СНАП</v>
      </c>
      <c r="K2321" s="1" t="s">
        <v>20</v>
      </c>
      <c r="L2321" s="1" t="s">
        <v>20</v>
      </c>
      <c r="M2321" s="1" t="s">
        <v>22</v>
      </c>
      <c r="N2321" s="1" t="s">
        <v>20</v>
      </c>
    </row>
    <row r="2322" spans="1:14" x14ac:dyDescent="0.3">
      <c r="A2322" s="1" t="str">
        <f>"16_692-11/2024/Л"</f>
        <v>16_692-11/2024/Л</v>
      </c>
      <c r="B2322" s="6">
        <v>45617</v>
      </c>
      <c r="C2322" s="1" t="str">
        <f>"33"</f>
        <v>33</v>
      </c>
      <c r="D2322" s="2" t="str">
        <f>"33 Довідки різного характеру"</f>
        <v>33 Довідки різного характеру</v>
      </c>
      <c r="E2322" s="1" t="s">
        <v>20</v>
      </c>
      <c r="F232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22" s="1" t="str">
        <f t="shared" si="317"/>
        <v>Фізична особа</v>
      </c>
      <c r="H2322" s="1" t="s">
        <v>20</v>
      </c>
      <c r="I2322" s="1" t="s">
        <v>20</v>
      </c>
      <c r="J2322" s="1" t="str">
        <f>"Закрито"</f>
        <v>Закрито</v>
      </c>
      <c r="K2322" s="5">
        <v>45617</v>
      </c>
      <c r="L2322" s="1" t="s">
        <v>20</v>
      </c>
      <c r="M2322" s="1" t="s">
        <v>22</v>
      </c>
      <c r="N2322" s="5">
        <v>45617</v>
      </c>
    </row>
    <row r="2323" spans="1:14" x14ac:dyDescent="0.3">
      <c r="A2323" s="1" t="str">
        <f>"16_693-11/2024/Л"</f>
        <v>16_693-11/2024/Л</v>
      </c>
      <c r="B2323" s="6">
        <v>45617</v>
      </c>
      <c r="C2323" s="1" t="str">
        <f>"00103"</f>
        <v>00103</v>
      </c>
      <c r="D2323" s="2" t="s">
        <v>1</v>
      </c>
      <c r="E2323" s="1" t="str">
        <f>"03193413"</f>
        <v>03193413</v>
      </c>
      <c r="F232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23" s="1" t="str">
        <f t="shared" si="317"/>
        <v>Фізична особа</v>
      </c>
      <c r="H2323" s="1" t="s">
        <v>20</v>
      </c>
      <c r="I2323" s="1" t="s">
        <v>20</v>
      </c>
      <c r="J2323" s="1" t="str">
        <f>"Закрито"</f>
        <v>Закрито</v>
      </c>
      <c r="K2323" s="5">
        <v>45639</v>
      </c>
      <c r="L2323" s="1" t="s">
        <v>20</v>
      </c>
      <c r="M2323" s="1" t="s">
        <v>22</v>
      </c>
      <c r="N2323" s="5">
        <v>45639</v>
      </c>
    </row>
    <row r="2324" spans="1:14" x14ac:dyDescent="0.3">
      <c r="A2324" s="1" t="str">
        <f>"1_727-11/2024/П"</f>
        <v>1_727-11/2024/П</v>
      </c>
      <c r="B2324" s="6">
        <v>45617</v>
      </c>
      <c r="C2324" s="1" t="str">
        <f>"01298"</f>
        <v>01298</v>
      </c>
      <c r="D2324" s="2" t="str">
        <f>"Видача довідки про реєстрацію місця проживання померлого,  у тому числі про поживаючих разом з померлим за однією адресою"</f>
        <v>Видача довідки про реєстрацію місця проживання померлого,  у тому числі про поживаючих разом з померлим за однією адресою</v>
      </c>
      <c r="E2324" s="1" t="s">
        <v>20</v>
      </c>
      <c r="F23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24" s="1" t="str">
        <f t="shared" si="317"/>
        <v>Фізична особа</v>
      </c>
      <c r="H2324" s="1" t="s">
        <v>20</v>
      </c>
      <c r="I2324" s="1" t="s">
        <v>20</v>
      </c>
      <c r="J2324" s="1" t="str">
        <f>"Закрито"</f>
        <v>Закрито</v>
      </c>
      <c r="K2324" s="5">
        <v>45617</v>
      </c>
      <c r="L2324" s="1" t="s">
        <v>20</v>
      </c>
      <c r="M2324" s="1" t="s">
        <v>22</v>
      </c>
      <c r="N2324" s="5">
        <v>45617</v>
      </c>
    </row>
    <row r="2325" spans="1:14" x14ac:dyDescent="0.3">
      <c r="A2325" s="1" t="str">
        <f>"1_728-11/2024/Г"</f>
        <v>1_728-11/2024/Г</v>
      </c>
      <c r="B2325" s="6">
        <v>45617</v>
      </c>
      <c r="C2325" s="1" t="str">
        <f>"01298"</f>
        <v>01298</v>
      </c>
      <c r="D2325" s="2" t="str">
        <f>"Видача довідки про реєстрацію місця проживання померлого,  у тому числі про поживаючих разом з померлим за однією адресою"</f>
        <v>Видача довідки про реєстрацію місця проживання померлого,  у тому числі про поживаючих разом з померлим за однією адресою</v>
      </c>
      <c r="E2325" s="1" t="s">
        <v>20</v>
      </c>
      <c r="F232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25" s="1" t="str">
        <f t="shared" si="317"/>
        <v>Фізична особа</v>
      </c>
      <c r="H2325" s="1" t="s">
        <v>20</v>
      </c>
      <c r="I2325" s="1" t="s">
        <v>20</v>
      </c>
      <c r="J2325" s="1" t="str">
        <f>"Закрито"</f>
        <v>Закрито</v>
      </c>
      <c r="K2325" s="5">
        <v>45617</v>
      </c>
      <c r="L2325" s="1" t="s">
        <v>20</v>
      </c>
      <c r="M2325" s="1" t="s">
        <v>22</v>
      </c>
      <c r="N2325" s="5">
        <v>45617</v>
      </c>
    </row>
    <row r="2326" spans="1:14" x14ac:dyDescent="0.3">
      <c r="A2326" s="1" t="str">
        <f>"1_729-11/2024/Г"</f>
        <v>1_729-11/2024/Г</v>
      </c>
      <c r="B2326" s="6">
        <v>45617</v>
      </c>
      <c r="C2326" s="1" t="str">
        <f>"01298"</f>
        <v>01298</v>
      </c>
      <c r="D2326" s="2" t="str">
        <f>"Видача довідки про реєстрацію місця проживання померлого,  у тому числі про поживаючих разом з померлим за однією адресою"</f>
        <v>Видача довідки про реєстрацію місця проживання померлого,  у тому числі про поживаючих разом з померлим за однією адресою</v>
      </c>
      <c r="E2326" s="1" t="s">
        <v>20</v>
      </c>
      <c r="F232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26" s="1" t="str">
        <f t="shared" si="317"/>
        <v>Фізична особа</v>
      </c>
      <c r="H2326" s="1" t="s">
        <v>20</v>
      </c>
      <c r="I2326" s="1" t="s">
        <v>20</v>
      </c>
      <c r="J2326" s="1" t="str">
        <f>"Закрито"</f>
        <v>Закрито</v>
      </c>
      <c r="K2326" s="5">
        <v>45617</v>
      </c>
      <c r="L2326" s="1" t="s">
        <v>20</v>
      </c>
      <c r="M2326" s="1" t="s">
        <v>22</v>
      </c>
      <c r="N2326" s="5">
        <v>45617</v>
      </c>
    </row>
    <row r="2327" spans="1:14" x14ac:dyDescent="0.3">
      <c r="A2327" s="1" t="str">
        <f>"32_115-11/2024/З"</f>
        <v>32_115-11/2024/З</v>
      </c>
      <c r="B2327" s="6">
        <v>45617</v>
      </c>
      <c r="C2327" s="1" t="str">
        <f>"00155"</f>
        <v>00155</v>
      </c>
      <c r="D2327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327" s="1" t="str">
        <f>"03193413"</f>
        <v>03193413</v>
      </c>
      <c r="F232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27" s="1" t="str">
        <f t="shared" si="317"/>
        <v>Фізична особа</v>
      </c>
      <c r="H2327" s="1" t="s">
        <v>20</v>
      </c>
      <c r="I2327" s="1" t="s">
        <v>20</v>
      </c>
      <c r="J2327" s="1" t="str">
        <f>"На обробці в СНАП"</f>
        <v>На обробці в СНАП</v>
      </c>
      <c r="K2327" s="1" t="s">
        <v>20</v>
      </c>
      <c r="L2327" s="1" t="s">
        <v>20</v>
      </c>
      <c r="M2327" s="1" t="s">
        <v>22</v>
      </c>
      <c r="N2327" s="1" t="s">
        <v>20</v>
      </c>
    </row>
    <row r="2328" spans="1:14" x14ac:dyDescent="0.3">
      <c r="A2328" s="1" t="str">
        <f>"1_730-11/2024/Г"</f>
        <v>1_730-11/2024/Г</v>
      </c>
      <c r="B2328" s="6">
        <v>45617</v>
      </c>
      <c r="C2328" s="1" t="str">
        <f>"00038"</f>
        <v>00038</v>
      </c>
      <c r="D232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28" s="1" t="s">
        <v>20</v>
      </c>
      <c r="F23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28" s="1" t="str">
        <f t="shared" si="317"/>
        <v>Фізична особа</v>
      </c>
      <c r="H2328" s="1" t="s">
        <v>20</v>
      </c>
      <c r="I2328" s="1" t="s">
        <v>20</v>
      </c>
      <c r="J2328" s="1" t="str">
        <f t="shared" ref="J2328:J2338" si="322">"Закрито"</f>
        <v>Закрито</v>
      </c>
      <c r="K2328" s="5">
        <v>45617</v>
      </c>
      <c r="L2328" s="1" t="s">
        <v>20</v>
      </c>
      <c r="M2328" s="1" t="s">
        <v>22</v>
      </c>
      <c r="N2328" s="5">
        <v>45617</v>
      </c>
    </row>
    <row r="2329" spans="1:14" x14ac:dyDescent="0.3">
      <c r="A2329" s="1" t="str">
        <f>"22_560-11/2024/К"</f>
        <v>22_560-11/2024/К</v>
      </c>
      <c r="B2329" s="6">
        <v>45617</v>
      </c>
      <c r="C2329" s="1" t="str">
        <f>"00038"</f>
        <v>00038</v>
      </c>
      <c r="D232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29" s="1" t="s">
        <v>20</v>
      </c>
      <c r="F232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29" s="1" t="str">
        <f t="shared" si="317"/>
        <v>Фізична особа</v>
      </c>
      <c r="H2329" s="1" t="s">
        <v>20</v>
      </c>
      <c r="I2329" s="1" t="s">
        <v>20</v>
      </c>
      <c r="J2329" s="1" t="str">
        <f t="shared" si="322"/>
        <v>Закрито</v>
      </c>
      <c r="K2329" s="5">
        <v>45617</v>
      </c>
      <c r="L2329" s="1" t="s">
        <v>20</v>
      </c>
      <c r="M2329" s="1" t="s">
        <v>22</v>
      </c>
      <c r="N2329" s="5">
        <v>45617</v>
      </c>
    </row>
    <row r="2330" spans="1:14" x14ac:dyDescent="0.3">
      <c r="A2330" s="1" t="str">
        <f>"1_731-11/2024/К"</f>
        <v>1_731-11/2024/К</v>
      </c>
      <c r="B2330" s="6">
        <v>45617</v>
      </c>
      <c r="C2330" s="1" t="str">
        <f>"00038"</f>
        <v>00038</v>
      </c>
      <c r="D233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30" s="1" t="s">
        <v>20</v>
      </c>
      <c r="F23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30" s="1" t="str">
        <f t="shared" si="317"/>
        <v>Фізична особа</v>
      </c>
      <c r="H2330" s="1" t="s">
        <v>20</v>
      </c>
      <c r="I2330" s="1" t="s">
        <v>20</v>
      </c>
      <c r="J2330" s="1" t="str">
        <f t="shared" si="322"/>
        <v>Закрито</v>
      </c>
      <c r="K2330" s="5">
        <v>45617</v>
      </c>
      <c r="L2330" s="1" t="s">
        <v>20</v>
      </c>
      <c r="M2330" s="1" t="s">
        <v>22</v>
      </c>
      <c r="N2330" s="5">
        <v>45617</v>
      </c>
    </row>
    <row r="2331" spans="1:14" x14ac:dyDescent="0.3">
      <c r="A2331" s="1" t="str">
        <f>"1_732-11/2024/К"</f>
        <v>1_732-11/2024/К</v>
      </c>
      <c r="B2331" s="6">
        <v>45617</v>
      </c>
      <c r="C2331" s="1" t="str">
        <f>"00064"</f>
        <v>00064</v>
      </c>
      <c r="D2331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331" s="1" t="s">
        <v>20</v>
      </c>
      <c r="F2331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331" s="1" t="str">
        <f t="shared" si="317"/>
        <v>Фізична особа</v>
      </c>
      <c r="H2331" s="1" t="s">
        <v>20</v>
      </c>
      <c r="I2331" s="1" t="s">
        <v>20</v>
      </c>
      <c r="J2331" s="1" t="str">
        <f t="shared" si="322"/>
        <v>Закрито</v>
      </c>
      <c r="K2331" s="5">
        <v>45617</v>
      </c>
      <c r="L2331" s="1" t="s">
        <v>20</v>
      </c>
      <c r="M2331" s="1" t="s">
        <v>22</v>
      </c>
      <c r="N2331" s="5">
        <v>45617</v>
      </c>
    </row>
    <row r="2332" spans="1:14" x14ac:dyDescent="0.3">
      <c r="A2332" s="1" t="str">
        <f>"1_733-11/2024/К"</f>
        <v>1_733-11/2024/К</v>
      </c>
      <c r="B2332" s="6">
        <v>45617</v>
      </c>
      <c r="C2332" s="1" t="str">
        <f>"00155"</f>
        <v>00155</v>
      </c>
      <c r="D2332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332" s="1" t="str">
        <f>"03193413"</f>
        <v>03193413</v>
      </c>
      <c r="F233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32" s="1" t="str">
        <f t="shared" si="317"/>
        <v>Фізична особа</v>
      </c>
      <c r="H2332" s="1" t="s">
        <v>20</v>
      </c>
      <c r="I2332" s="1" t="s">
        <v>20</v>
      </c>
      <c r="J2332" s="1" t="str">
        <f t="shared" si="322"/>
        <v>Закрито</v>
      </c>
      <c r="K2332" s="5">
        <v>45653</v>
      </c>
      <c r="L2332" s="1" t="s">
        <v>20</v>
      </c>
      <c r="M2332" s="1" t="s">
        <v>22</v>
      </c>
      <c r="N2332" s="5">
        <v>45653</v>
      </c>
    </row>
    <row r="2333" spans="1:14" x14ac:dyDescent="0.3">
      <c r="A2333" s="1" t="str">
        <f>"1_734-11/2024/К"</f>
        <v>1_734-11/2024/К</v>
      </c>
      <c r="B2333" s="6">
        <v>45617</v>
      </c>
      <c r="C2333" s="1" t="str">
        <f>"00038"</f>
        <v>00038</v>
      </c>
      <c r="D233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33" s="1" t="s">
        <v>20</v>
      </c>
      <c r="F2333" s="1" t="str">
        <f t="shared" ref="F2333:F2338" si="323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33" s="1" t="str">
        <f t="shared" si="317"/>
        <v>Фізична особа</v>
      </c>
      <c r="H2333" s="1" t="s">
        <v>20</v>
      </c>
      <c r="I2333" s="1" t="s">
        <v>20</v>
      </c>
      <c r="J2333" s="1" t="str">
        <f t="shared" si="322"/>
        <v>Закрито</v>
      </c>
      <c r="K2333" s="5">
        <v>45617</v>
      </c>
      <c r="L2333" s="1" t="s">
        <v>20</v>
      </c>
      <c r="M2333" s="1" t="s">
        <v>22</v>
      </c>
      <c r="N2333" s="5">
        <v>45617</v>
      </c>
    </row>
    <row r="2334" spans="1:14" x14ac:dyDescent="0.3">
      <c r="A2334" s="1" t="str">
        <f>"1_735-11/2024/А"</f>
        <v>1_735-11/2024/А</v>
      </c>
      <c r="B2334" s="6">
        <v>45617</v>
      </c>
      <c r="C2334" s="1" t="str">
        <f>"00038"</f>
        <v>00038</v>
      </c>
      <c r="D233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34" s="1" t="s">
        <v>20</v>
      </c>
      <c r="F2334" s="1" t="str">
        <f t="shared" si="323"/>
        <v>Центр надання адміністративних послуг Рогатинської міської ради</v>
      </c>
      <c r="G2334" s="1" t="str">
        <f t="shared" si="317"/>
        <v>Фізична особа</v>
      </c>
      <c r="H2334" s="1" t="s">
        <v>20</v>
      </c>
      <c r="I2334" s="1" t="s">
        <v>20</v>
      </c>
      <c r="J2334" s="1" t="str">
        <f t="shared" si="322"/>
        <v>Закрито</v>
      </c>
      <c r="K2334" s="5">
        <v>45617</v>
      </c>
      <c r="L2334" s="1" t="s">
        <v>20</v>
      </c>
      <c r="M2334" s="1" t="s">
        <v>22</v>
      </c>
      <c r="N2334" s="5">
        <v>45617</v>
      </c>
    </row>
    <row r="2335" spans="1:14" x14ac:dyDescent="0.3">
      <c r="A2335" s="1" t="str">
        <f>"1_736-11/2024/А"</f>
        <v>1_736-11/2024/А</v>
      </c>
      <c r="B2335" s="6">
        <v>45617</v>
      </c>
      <c r="C2335" s="1" t="str">
        <f>"00038"</f>
        <v>00038</v>
      </c>
      <c r="D233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35" s="1" t="s">
        <v>20</v>
      </c>
      <c r="F2335" s="1" t="str">
        <f t="shared" si="323"/>
        <v>Центр надання адміністративних послуг Рогатинської міської ради</v>
      </c>
      <c r="G2335" s="1" t="str">
        <f t="shared" si="317"/>
        <v>Фізична особа</v>
      </c>
      <c r="H2335" s="1" t="s">
        <v>20</v>
      </c>
      <c r="I2335" s="1" t="s">
        <v>20</v>
      </c>
      <c r="J2335" s="1" t="str">
        <f t="shared" si="322"/>
        <v>Закрито</v>
      </c>
      <c r="K2335" s="5">
        <v>45617</v>
      </c>
      <c r="L2335" s="1" t="s">
        <v>20</v>
      </c>
      <c r="M2335" s="1" t="s">
        <v>22</v>
      </c>
      <c r="N2335" s="5">
        <v>45617</v>
      </c>
    </row>
    <row r="2336" spans="1:14" x14ac:dyDescent="0.3">
      <c r="A2336" s="1" t="str">
        <f>"3_870-11/2024/Р"</f>
        <v>3_870-11/2024/Р</v>
      </c>
      <c r="B2336" s="6">
        <v>45618</v>
      </c>
      <c r="C2336" s="1" t="str">
        <f>"33"</f>
        <v>33</v>
      </c>
      <c r="D2336" s="2" t="str">
        <f>"33 Довідки різного характеру"</f>
        <v>33 Довідки різного характеру</v>
      </c>
      <c r="E2336" s="1" t="s">
        <v>20</v>
      </c>
      <c r="F2336" s="1" t="str">
        <f t="shared" si="323"/>
        <v>Центр надання адміністративних послуг Рогатинської міської ради</v>
      </c>
      <c r="G2336" s="1" t="str">
        <f t="shared" si="317"/>
        <v>Фізична особа</v>
      </c>
      <c r="H2336" s="1" t="s">
        <v>20</v>
      </c>
      <c r="I2336" s="1" t="s">
        <v>20</v>
      </c>
      <c r="J2336" s="1" t="str">
        <f t="shared" si="322"/>
        <v>Закрито</v>
      </c>
      <c r="K2336" s="5">
        <v>45618</v>
      </c>
      <c r="L2336" s="1" t="s">
        <v>20</v>
      </c>
      <c r="M2336" s="1" t="s">
        <v>22</v>
      </c>
      <c r="N2336" s="5">
        <v>45618</v>
      </c>
    </row>
    <row r="2337" spans="1:14" x14ac:dyDescent="0.3">
      <c r="A2337" s="1" t="str">
        <f>"20_185-11/2024/Р"</f>
        <v>20_185-11/2024/Р</v>
      </c>
      <c r="B2337" s="6">
        <v>45618</v>
      </c>
      <c r="C2337" s="1" t="str">
        <f>"00038"</f>
        <v>00038</v>
      </c>
      <c r="D233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37" s="1" t="s">
        <v>20</v>
      </c>
      <c r="F2337" s="1" t="str">
        <f t="shared" si="323"/>
        <v>Центр надання адміністративних послуг Рогатинської міської ради</v>
      </c>
      <c r="G2337" s="1" t="str">
        <f t="shared" si="317"/>
        <v>Фізична особа</v>
      </c>
      <c r="H2337" s="1" t="s">
        <v>20</v>
      </c>
      <c r="I2337" s="1" t="s">
        <v>20</v>
      </c>
      <c r="J2337" s="1" t="str">
        <f t="shared" si="322"/>
        <v>Закрито</v>
      </c>
      <c r="K2337" s="5">
        <v>45618</v>
      </c>
      <c r="L2337" s="1" t="s">
        <v>20</v>
      </c>
      <c r="M2337" s="1" t="s">
        <v>22</v>
      </c>
      <c r="N2337" s="5">
        <v>45618</v>
      </c>
    </row>
    <row r="2338" spans="1:14" x14ac:dyDescent="0.3">
      <c r="A2338" s="1" t="str">
        <f>"1_5984/2129-11/2024/З"</f>
        <v>1_5984/2129-11/2024/З</v>
      </c>
      <c r="B2338" s="6">
        <v>45618</v>
      </c>
      <c r="C2338" s="1" t="str">
        <f>"00038"</f>
        <v>00038</v>
      </c>
      <c r="D233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38" s="1" t="s">
        <v>20</v>
      </c>
      <c r="F2338" s="1" t="str">
        <f t="shared" si="323"/>
        <v>Центр надання адміністративних послуг Рогатинської міської ради</v>
      </c>
      <c r="G2338" s="1" t="str">
        <f t="shared" si="317"/>
        <v>Фізична особа</v>
      </c>
      <c r="H2338" s="1" t="s">
        <v>20</v>
      </c>
      <c r="I2338" s="1" t="s">
        <v>20</v>
      </c>
      <c r="J2338" s="1" t="str">
        <f t="shared" si="322"/>
        <v>Закрито</v>
      </c>
      <c r="K2338" s="6">
        <v>45618</v>
      </c>
      <c r="L2338" s="1" t="s">
        <v>20</v>
      </c>
      <c r="M2338" s="1" t="s">
        <v>22</v>
      </c>
      <c r="N2338" s="5">
        <v>45618</v>
      </c>
    </row>
    <row r="2339" spans="1:14" x14ac:dyDescent="0.3">
      <c r="A2339" s="1" t="str">
        <f>"9_1687/04054323-11/2024/П"</f>
        <v>9_1687/04054323-11/2024/П</v>
      </c>
      <c r="B2339" s="6">
        <v>45618</v>
      </c>
      <c r="C2339" s="1" t="str">
        <f>"01"</f>
        <v>01</v>
      </c>
      <c r="D2339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2339" s="1" t="str">
        <f>"04054323"</f>
        <v>04054323</v>
      </c>
      <c r="F2339" s="1" t="str">
        <f>"Рогатинська міська рада"</f>
        <v>Рогатинська міська рада</v>
      </c>
      <c r="G2339" s="1" t="str">
        <f t="shared" si="317"/>
        <v>Фізична особа</v>
      </c>
      <c r="H2339" s="1" t="s">
        <v>20</v>
      </c>
      <c r="I2339" s="1" t="s">
        <v>20</v>
      </c>
      <c r="J2339" s="1" t="str">
        <f>"На обробці в СНАП"</f>
        <v>На обробці в СНАП</v>
      </c>
      <c r="K2339" s="1" t="s">
        <v>20</v>
      </c>
      <c r="L2339" s="1" t="s">
        <v>20</v>
      </c>
      <c r="M2339" s="1" t="s">
        <v>22</v>
      </c>
      <c r="N2339" s="1" t="s">
        <v>20</v>
      </c>
    </row>
    <row r="2340" spans="1:14" x14ac:dyDescent="0.3">
      <c r="A2340" s="1" t="str">
        <f>"4_1011-11/2024/С"</f>
        <v>4_1011-11/2024/С</v>
      </c>
      <c r="B2340" s="6">
        <v>45618</v>
      </c>
      <c r="C2340" s="1" t="str">
        <f>"00155"</f>
        <v>00155</v>
      </c>
      <c r="D2340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340" s="1" t="str">
        <f>"03193413"</f>
        <v>03193413</v>
      </c>
      <c r="F234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40" s="1" t="str">
        <f t="shared" si="317"/>
        <v>Фізична особа</v>
      </c>
      <c r="H2340" s="1" t="s">
        <v>20</v>
      </c>
      <c r="I2340" s="1" t="s">
        <v>20</v>
      </c>
      <c r="J2340" s="1" t="str">
        <f>"Результат підготовлено СНАП"</f>
        <v>Результат підготовлено СНАП</v>
      </c>
      <c r="K2340" s="5">
        <v>45628</v>
      </c>
      <c r="L2340" s="1" t="s">
        <v>20</v>
      </c>
      <c r="M2340" s="1" t="s">
        <v>22</v>
      </c>
      <c r="N2340" s="1" t="s">
        <v>20</v>
      </c>
    </row>
    <row r="2341" spans="1:14" x14ac:dyDescent="0.3">
      <c r="A2341" s="1" t="str">
        <f>"1_5985/2129-11/2024/В"</f>
        <v>1_5985/2129-11/2024/В</v>
      </c>
      <c r="B2341" s="6">
        <v>45618</v>
      </c>
      <c r="C2341" s="1" t="str">
        <f>"00038"</f>
        <v>00038</v>
      </c>
      <c r="D234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41" s="1" t="s">
        <v>20</v>
      </c>
      <c r="F2341" s="1" t="str">
        <f t="shared" ref="F2341:F2346" si="324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41" s="1" t="str">
        <f t="shared" si="317"/>
        <v>Фізична особа</v>
      </c>
      <c r="H2341" s="1" t="s">
        <v>20</v>
      </c>
      <c r="I2341" s="1" t="s">
        <v>20</v>
      </c>
      <c r="J2341" s="1" t="str">
        <f t="shared" ref="J2341:J2349" si="325">"Закрито"</f>
        <v>Закрито</v>
      </c>
      <c r="K2341" s="6">
        <v>45618</v>
      </c>
      <c r="L2341" s="1" t="s">
        <v>20</v>
      </c>
      <c r="M2341" s="1" t="s">
        <v>22</v>
      </c>
      <c r="N2341" s="5">
        <v>45618</v>
      </c>
    </row>
    <row r="2342" spans="1:14" x14ac:dyDescent="0.3">
      <c r="A2342" s="1" t="str">
        <f>"4_1012-11/2024/С"</f>
        <v>4_1012-11/2024/С</v>
      </c>
      <c r="B2342" s="6">
        <v>45618</v>
      </c>
      <c r="C2342" s="1" t="str">
        <f>"00038"</f>
        <v>00038</v>
      </c>
      <c r="D234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42" s="1" t="s">
        <v>20</v>
      </c>
      <c r="F2342" s="1" t="str">
        <f t="shared" si="324"/>
        <v>Центр надання адміністративних послуг Рогатинської міської ради</v>
      </c>
      <c r="G2342" s="1" t="str">
        <f t="shared" ref="G2342:G2354" si="326">"Фізична особа"</f>
        <v>Фізична особа</v>
      </c>
      <c r="H2342" s="1" t="s">
        <v>20</v>
      </c>
      <c r="I2342" s="1" t="s">
        <v>20</v>
      </c>
      <c r="J2342" s="1" t="str">
        <f t="shared" si="325"/>
        <v>Закрито</v>
      </c>
      <c r="K2342" s="5">
        <v>45618</v>
      </c>
      <c r="L2342" s="1" t="s">
        <v>20</v>
      </c>
      <c r="M2342" s="1" t="s">
        <v>22</v>
      </c>
      <c r="N2342" s="5">
        <v>45618</v>
      </c>
    </row>
    <row r="2343" spans="1:14" x14ac:dyDescent="0.3">
      <c r="A2343" s="1" t="str">
        <f>"4_1013-11/2024/Р"</f>
        <v>4_1013-11/2024/Р</v>
      </c>
      <c r="B2343" s="6">
        <v>45618</v>
      </c>
      <c r="C2343" s="1" t="str">
        <f>"33"</f>
        <v>33</v>
      </c>
      <c r="D2343" s="2" t="str">
        <f>"33 Довідки різного характеру"</f>
        <v>33 Довідки різного характеру</v>
      </c>
      <c r="E2343" s="1" t="s">
        <v>20</v>
      </c>
      <c r="F2343" s="1" t="str">
        <f t="shared" si="324"/>
        <v>Центр надання адміністративних послуг Рогатинської міської ради</v>
      </c>
      <c r="G2343" s="1" t="str">
        <f t="shared" si="326"/>
        <v>Фізична особа</v>
      </c>
      <c r="H2343" s="1" t="s">
        <v>20</v>
      </c>
      <c r="I2343" s="1" t="s">
        <v>20</v>
      </c>
      <c r="J2343" s="1" t="str">
        <f t="shared" si="325"/>
        <v>Закрито</v>
      </c>
      <c r="K2343" s="5">
        <v>45618</v>
      </c>
      <c r="L2343" s="1" t="s">
        <v>20</v>
      </c>
      <c r="M2343" s="1" t="s">
        <v>22</v>
      </c>
      <c r="N2343" s="5">
        <v>45618</v>
      </c>
    </row>
    <row r="2344" spans="1:14" x14ac:dyDescent="0.3">
      <c r="A2344" s="1" t="str">
        <f>"1_5986/2129-11/2024/Б"</f>
        <v>1_5986/2129-11/2024/Б</v>
      </c>
      <c r="B2344" s="6">
        <v>45618</v>
      </c>
      <c r="C2344" s="1" t="str">
        <f>"00038"</f>
        <v>00038</v>
      </c>
      <c r="D234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44" s="1" t="s">
        <v>20</v>
      </c>
      <c r="F2344" s="1" t="str">
        <f t="shared" si="324"/>
        <v>Центр надання адміністративних послуг Рогатинської міської ради</v>
      </c>
      <c r="G2344" s="1" t="str">
        <f t="shared" si="326"/>
        <v>Фізична особа</v>
      </c>
      <c r="H2344" s="1" t="s">
        <v>20</v>
      </c>
      <c r="I2344" s="1" t="s">
        <v>20</v>
      </c>
      <c r="J2344" s="1" t="str">
        <f t="shared" si="325"/>
        <v>Закрито</v>
      </c>
      <c r="K2344" s="6">
        <v>45618</v>
      </c>
      <c r="L2344" s="1" t="s">
        <v>20</v>
      </c>
      <c r="M2344" s="1" t="s">
        <v>22</v>
      </c>
      <c r="N2344" s="5">
        <v>45618</v>
      </c>
    </row>
    <row r="2345" spans="1:14" x14ac:dyDescent="0.3">
      <c r="A2345" s="1" t="str">
        <f>"1_5987/2129-11/2024/М"</f>
        <v>1_5987/2129-11/2024/М</v>
      </c>
      <c r="B2345" s="6">
        <v>45618</v>
      </c>
      <c r="C2345" s="1" t="str">
        <f>"00038"</f>
        <v>00038</v>
      </c>
      <c r="D234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45" s="1" t="s">
        <v>20</v>
      </c>
      <c r="F2345" s="1" t="str">
        <f t="shared" si="324"/>
        <v>Центр надання адміністративних послуг Рогатинської міської ради</v>
      </c>
      <c r="G2345" s="1" t="str">
        <f t="shared" si="326"/>
        <v>Фізична особа</v>
      </c>
      <c r="H2345" s="1" t="s">
        <v>20</v>
      </c>
      <c r="I2345" s="1" t="s">
        <v>20</v>
      </c>
      <c r="J2345" s="1" t="str">
        <f t="shared" si="325"/>
        <v>Закрито</v>
      </c>
      <c r="K2345" s="6">
        <v>45618</v>
      </c>
      <c r="L2345" s="1" t="s">
        <v>20</v>
      </c>
      <c r="M2345" s="1" t="s">
        <v>22</v>
      </c>
      <c r="N2345" s="5">
        <v>45618</v>
      </c>
    </row>
    <row r="2346" spans="1:14" x14ac:dyDescent="0.3">
      <c r="A2346" s="1" t="str">
        <f>"1_5988/2129-11/2024/С"</f>
        <v>1_5988/2129-11/2024/С</v>
      </c>
      <c r="B2346" s="6">
        <v>45618</v>
      </c>
      <c r="C2346" s="1" t="str">
        <f>"00038"</f>
        <v>00038</v>
      </c>
      <c r="D234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46" s="1" t="s">
        <v>20</v>
      </c>
      <c r="F2346" s="1" t="str">
        <f t="shared" si="324"/>
        <v>Центр надання адміністративних послуг Рогатинської міської ради</v>
      </c>
      <c r="G2346" s="1" t="str">
        <f t="shared" si="326"/>
        <v>Фізична особа</v>
      </c>
      <c r="H2346" s="1" t="s">
        <v>20</v>
      </c>
      <c r="I2346" s="1" t="s">
        <v>20</v>
      </c>
      <c r="J2346" s="1" t="str">
        <f t="shared" si="325"/>
        <v>Закрито</v>
      </c>
      <c r="K2346" s="6">
        <v>45618</v>
      </c>
      <c r="L2346" s="1" t="s">
        <v>20</v>
      </c>
      <c r="M2346" s="1" t="s">
        <v>22</v>
      </c>
      <c r="N2346" s="5">
        <v>45618</v>
      </c>
    </row>
    <row r="2347" spans="1:14" x14ac:dyDescent="0.3">
      <c r="A2347" s="1" t="str">
        <f>"9_1688/04054323-11/2024/С"</f>
        <v>9_1688/04054323-11/2024/С</v>
      </c>
      <c r="B2347" s="6">
        <v>45618</v>
      </c>
      <c r="C2347" s="1" t="str">
        <f>"01-1"</f>
        <v>01-1</v>
      </c>
      <c r="D2347" s="2" t="s">
        <v>0</v>
      </c>
      <c r="E2347" s="1" t="str">
        <f>"04054323"</f>
        <v>04054323</v>
      </c>
      <c r="F2347" s="1" t="str">
        <f>"Рогатинська міська рада"</f>
        <v>Рогатинська міська рада</v>
      </c>
      <c r="G2347" s="1" t="str">
        <f t="shared" si="326"/>
        <v>Фізична особа</v>
      </c>
      <c r="H2347" s="1" t="s">
        <v>20</v>
      </c>
      <c r="I2347" s="1" t="s">
        <v>20</v>
      </c>
      <c r="J2347" s="1" t="str">
        <f t="shared" si="325"/>
        <v>Закрито</v>
      </c>
      <c r="K2347" s="5">
        <v>45636</v>
      </c>
      <c r="L2347" s="1" t="s">
        <v>20</v>
      </c>
      <c r="M2347" s="1" t="s">
        <v>22</v>
      </c>
      <c r="N2347" s="5">
        <v>45636</v>
      </c>
    </row>
    <row r="2348" spans="1:14" x14ac:dyDescent="0.3">
      <c r="A2348" s="1" t="str">
        <f>"8_83/2129-11/2024/С"</f>
        <v>8_83/2129-11/2024/С</v>
      </c>
      <c r="B2348" s="6">
        <v>45618</v>
      </c>
      <c r="C2348" s="1" t="str">
        <f>"00033"</f>
        <v>00033</v>
      </c>
      <c r="D2348" s="2" t="str">
        <f>"Державна реєстрація смерті"</f>
        <v>Державна реєстрація смерті</v>
      </c>
      <c r="E2348" s="1" t="s">
        <v>20</v>
      </c>
      <c r="F234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48" s="1" t="str">
        <f t="shared" si="326"/>
        <v>Фізична особа</v>
      </c>
      <c r="H2348" s="1" t="s">
        <v>20</v>
      </c>
      <c r="I2348" s="1" t="s">
        <v>20</v>
      </c>
      <c r="J2348" s="1" t="str">
        <f t="shared" si="325"/>
        <v>Закрито</v>
      </c>
      <c r="K2348" s="5">
        <v>45618</v>
      </c>
      <c r="L2348" s="1" t="s">
        <v>20</v>
      </c>
      <c r="M2348" s="1" t="s">
        <v>22</v>
      </c>
      <c r="N2348" s="5">
        <v>45618</v>
      </c>
    </row>
    <row r="2349" spans="1:14" x14ac:dyDescent="0.3">
      <c r="A2349" s="1" t="str">
        <f>"1_5989/2129-11/2024/С"</f>
        <v>1_5989/2129-11/2024/С</v>
      </c>
      <c r="B2349" s="6">
        <v>45618</v>
      </c>
      <c r="C2349" s="1" t="str">
        <f>"00037"</f>
        <v>00037</v>
      </c>
      <c r="D2349" s="2" t="str">
        <f>"Зняття з реєстрації місця проживання"</f>
        <v>Зняття з реєстрації місця проживання</v>
      </c>
      <c r="E2349" s="1" t="s">
        <v>20</v>
      </c>
      <c r="F234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49" s="1" t="str">
        <f t="shared" si="326"/>
        <v>Фізична особа</v>
      </c>
      <c r="H2349" s="1" t="s">
        <v>20</v>
      </c>
      <c r="I2349" s="1" t="s">
        <v>20</v>
      </c>
      <c r="J2349" s="1" t="str">
        <f t="shared" si="325"/>
        <v>Закрито</v>
      </c>
      <c r="K2349" s="6">
        <v>45618</v>
      </c>
      <c r="L2349" s="1" t="s">
        <v>20</v>
      </c>
      <c r="M2349" s="1" t="s">
        <v>22</v>
      </c>
      <c r="N2349" s="5">
        <v>45618</v>
      </c>
    </row>
    <row r="2350" spans="1:14" x14ac:dyDescent="0.3">
      <c r="A2350" s="1" t="str">
        <f>"9_1689/04054323-11/2024/Д"</f>
        <v>9_1689/04054323-11/2024/Д</v>
      </c>
      <c r="B2350" s="6">
        <v>45618</v>
      </c>
      <c r="C2350" s="1" t="str">
        <f>"01-1"</f>
        <v>01-1</v>
      </c>
      <c r="D2350" s="2" t="s">
        <v>0</v>
      </c>
      <c r="E2350" s="1" t="str">
        <f>"04054323"</f>
        <v>04054323</v>
      </c>
      <c r="F2350" s="1" t="str">
        <f>"Рогатинська міська рада"</f>
        <v>Рогатинська міська рада</v>
      </c>
      <c r="G2350" s="1" t="str">
        <f t="shared" si="326"/>
        <v>Фізична особа</v>
      </c>
      <c r="H2350" s="1" t="s">
        <v>20</v>
      </c>
      <c r="I2350" s="1" t="s">
        <v>20</v>
      </c>
      <c r="J2350" s="1" t="str">
        <f>"На обробці в СНАП"</f>
        <v>На обробці в СНАП</v>
      </c>
      <c r="K2350" s="1" t="s">
        <v>20</v>
      </c>
      <c r="L2350" s="1" t="s">
        <v>20</v>
      </c>
      <c r="M2350" s="1" t="s">
        <v>22</v>
      </c>
      <c r="N2350" s="1" t="s">
        <v>20</v>
      </c>
    </row>
    <row r="2351" spans="1:14" x14ac:dyDescent="0.3">
      <c r="A2351" s="1" t="str">
        <f>"1_5990/2129-11/2024/Б"</f>
        <v>1_5990/2129-11/2024/Б</v>
      </c>
      <c r="B2351" s="6">
        <v>45618</v>
      </c>
      <c r="C2351" s="1" t="str">
        <f>"00038"</f>
        <v>00038</v>
      </c>
      <c r="D235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51" s="1" t="s">
        <v>20</v>
      </c>
      <c r="F2351" s="1" t="str">
        <f t="shared" ref="F2351:F2357" si="327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51" s="1" t="str">
        <f t="shared" si="326"/>
        <v>Фізична особа</v>
      </c>
      <c r="H2351" s="1" t="s">
        <v>20</v>
      </c>
      <c r="I2351" s="1" t="s">
        <v>20</v>
      </c>
      <c r="J2351" s="1" t="str">
        <f t="shared" ref="J2351:J2357" si="328">"Закрито"</f>
        <v>Закрито</v>
      </c>
      <c r="K2351" s="6">
        <v>45618</v>
      </c>
      <c r="L2351" s="1" t="s">
        <v>20</v>
      </c>
      <c r="M2351" s="1" t="s">
        <v>22</v>
      </c>
      <c r="N2351" s="5">
        <v>45618</v>
      </c>
    </row>
    <row r="2352" spans="1:14" x14ac:dyDescent="0.3">
      <c r="A2352" s="1" t="str">
        <f>"1_5991/2129-11/2024/В"</f>
        <v>1_5991/2129-11/2024/В</v>
      </c>
      <c r="B2352" s="6">
        <v>45618</v>
      </c>
      <c r="C2352" s="1" t="str">
        <f>"00038"</f>
        <v>00038</v>
      </c>
      <c r="D235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52" s="1" t="s">
        <v>20</v>
      </c>
      <c r="F2352" s="1" t="str">
        <f t="shared" si="327"/>
        <v>Центр надання адміністративних послуг Рогатинської міської ради</v>
      </c>
      <c r="G2352" s="1" t="str">
        <f t="shared" si="326"/>
        <v>Фізична особа</v>
      </c>
      <c r="H2352" s="1" t="s">
        <v>20</v>
      </c>
      <c r="I2352" s="1" t="s">
        <v>20</v>
      </c>
      <c r="J2352" s="1" t="str">
        <f t="shared" si="328"/>
        <v>Закрито</v>
      </c>
      <c r="K2352" s="6">
        <v>45618</v>
      </c>
      <c r="L2352" s="1" t="s">
        <v>20</v>
      </c>
      <c r="M2352" s="1" t="s">
        <v>22</v>
      </c>
      <c r="N2352" s="5">
        <v>45618</v>
      </c>
    </row>
    <row r="2353" spans="1:14" x14ac:dyDescent="0.3">
      <c r="A2353" s="1" t="str">
        <f>"1_5992/2129-11/2024/Я"</f>
        <v>1_5992/2129-11/2024/Я</v>
      </c>
      <c r="B2353" s="6">
        <v>45618</v>
      </c>
      <c r="C2353" s="1" t="str">
        <f>"00038"</f>
        <v>00038</v>
      </c>
      <c r="D235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53" s="1" t="s">
        <v>20</v>
      </c>
      <c r="F2353" s="1" t="str">
        <f t="shared" si="327"/>
        <v>Центр надання адміністративних послуг Рогатинської міської ради</v>
      </c>
      <c r="G2353" s="1" t="str">
        <f t="shared" si="326"/>
        <v>Фізична особа</v>
      </c>
      <c r="H2353" s="1" t="s">
        <v>20</v>
      </c>
      <c r="I2353" s="1" t="s">
        <v>20</v>
      </c>
      <c r="J2353" s="1" t="str">
        <f t="shared" si="328"/>
        <v>Закрито</v>
      </c>
      <c r="K2353" s="6">
        <v>45618</v>
      </c>
      <c r="L2353" s="1" t="s">
        <v>20</v>
      </c>
      <c r="M2353" s="1" t="s">
        <v>22</v>
      </c>
      <c r="N2353" s="5">
        <v>45618</v>
      </c>
    </row>
    <row r="2354" spans="1:14" x14ac:dyDescent="0.3">
      <c r="A2354" s="1" t="str">
        <f>"1_5993/2129-11/2024/П"</f>
        <v>1_5993/2129-11/2024/П</v>
      </c>
      <c r="B2354" s="6">
        <v>45618</v>
      </c>
      <c r="C2354" s="1" t="str">
        <f>"00038"</f>
        <v>00038</v>
      </c>
      <c r="D235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54" s="1" t="s">
        <v>20</v>
      </c>
      <c r="F2354" s="1" t="str">
        <f t="shared" si="327"/>
        <v>Центр надання адміністративних послуг Рогатинської міської ради</v>
      </c>
      <c r="G2354" s="1" t="str">
        <f t="shared" si="326"/>
        <v>Фізична особа</v>
      </c>
      <c r="H2354" s="1" t="s">
        <v>20</v>
      </c>
      <c r="I2354" s="1" t="s">
        <v>20</v>
      </c>
      <c r="J2354" s="1" t="str">
        <f t="shared" si="328"/>
        <v>Закрито</v>
      </c>
      <c r="K2354" s="6">
        <v>45618</v>
      </c>
      <c r="L2354" s="1" t="s">
        <v>20</v>
      </c>
      <c r="M2354" s="1" t="s">
        <v>22</v>
      </c>
      <c r="N2354" s="5">
        <v>45618</v>
      </c>
    </row>
    <row r="2355" spans="1:14" x14ac:dyDescent="0.3">
      <c r="A2355" s="1" t="str">
        <f>"1_5994/2129-11/2024/П"</f>
        <v>1_5994/2129-11/2024/П</v>
      </c>
      <c r="B2355" s="6">
        <v>45618</v>
      </c>
      <c r="C2355" s="1" t="str">
        <f>"33"</f>
        <v>33</v>
      </c>
      <c r="D2355" s="2" t="str">
        <f>"33 Довідки різного характеру"</f>
        <v>33 Довідки різного характеру</v>
      </c>
      <c r="E2355" s="1" t="s">
        <v>20</v>
      </c>
      <c r="F2355" s="1" t="str">
        <f t="shared" si="327"/>
        <v>Центр надання адміністративних послуг Рогатинської міської ради</v>
      </c>
      <c r="G2355" s="1" t="str">
        <f>"Юридична особа"</f>
        <v>Юридична особа</v>
      </c>
      <c r="H2355" s="1" t="str">
        <f>"Приватний нотаріус"</f>
        <v>Приватний нотаріус</v>
      </c>
      <c r="I2355" s="1" t="s">
        <v>20</v>
      </c>
      <c r="J2355" s="1" t="str">
        <f t="shared" si="328"/>
        <v>Закрито</v>
      </c>
      <c r="K2355" s="6">
        <v>45618</v>
      </c>
      <c r="L2355" s="1" t="s">
        <v>20</v>
      </c>
      <c r="M2355" s="1" t="s">
        <v>22</v>
      </c>
      <c r="N2355" s="5">
        <v>45618</v>
      </c>
    </row>
    <row r="2356" spans="1:14" x14ac:dyDescent="0.3">
      <c r="A2356" s="1" t="str">
        <f>"1_5995/2129-11/2024/М"</f>
        <v>1_5995/2129-11/2024/М</v>
      </c>
      <c r="B2356" s="6">
        <v>45618</v>
      </c>
      <c r="C2356" s="1" t="str">
        <f>"00038"</f>
        <v>00038</v>
      </c>
      <c r="D235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56" s="1" t="s">
        <v>20</v>
      </c>
      <c r="F2356" s="1" t="str">
        <f t="shared" si="327"/>
        <v>Центр надання адміністративних послуг Рогатинської міської ради</v>
      </c>
      <c r="G2356" s="1" t="str">
        <f t="shared" ref="G2356:G2387" si="329">"Фізична особа"</f>
        <v>Фізична особа</v>
      </c>
      <c r="H2356" s="1" t="s">
        <v>20</v>
      </c>
      <c r="I2356" s="1" t="s">
        <v>20</v>
      </c>
      <c r="J2356" s="1" t="str">
        <f t="shared" si="328"/>
        <v>Закрито</v>
      </c>
      <c r="K2356" s="6">
        <v>45618</v>
      </c>
      <c r="L2356" s="1" t="s">
        <v>20</v>
      </c>
      <c r="M2356" s="1" t="s">
        <v>22</v>
      </c>
      <c r="N2356" s="5">
        <v>45618</v>
      </c>
    </row>
    <row r="2357" spans="1:14" x14ac:dyDescent="0.3">
      <c r="A2357" s="1" t="str">
        <f>"4_1014-11/2024/К"</f>
        <v>4_1014-11/2024/К</v>
      </c>
      <c r="B2357" s="6">
        <v>45618</v>
      </c>
      <c r="C2357" s="1" t="str">
        <f>"00038"</f>
        <v>00038</v>
      </c>
      <c r="D235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57" s="1" t="s">
        <v>20</v>
      </c>
      <c r="F2357" s="1" t="str">
        <f t="shared" si="327"/>
        <v>Центр надання адміністративних послуг Рогатинської міської ради</v>
      </c>
      <c r="G2357" s="1" t="str">
        <f t="shared" si="329"/>
        <v>Фізична особа</v>
      </c>
      <c r="H2357" s="1" t="s">
        <v>20</v>
      </c>
      <c r="I2357" s="1" t="s">
        <v>20</v>
      </c>
      <c r="J2357" s="1" t="str">
        <f t="shared" si="328"/>
        <v>Закрито</v>
      </c>
      <c r="K2357" s="5">
        <v>45618</v>
      </c>
      <c r="L2357" s="1" t="s">
        <v>20</v>
      </c>
      <c r="M2357" s="1" t="s">
        <v>22</v>
      </c>
      <c r="N2357" s="5">
        <v>45618</v>
      </c>
    </row>
    <row r="2358" spans="1:14" x14ac:dyDescent="0.3">
      <c r="A2358" s="1" t="str">
        <f>"26_381-11/2024/Н"</f>
        <v>26_381-11/2024/Н</v>
      </c>
      <c r="B2358" s="6">
        <v>45618</v>
      </c>
      <c r="C2358" s="1" t="str">
        <f>"00155"</f>
        <v>00155</v>
      </c>
      <c r="D2358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358" s="1" t="str">
        <f>"03193413"</f>
        <v>03193413</v>
      </c>
      <c r="F235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58" s="1" t="str">
        <f t="shared" si="329"/>
        <v>Фізична особа</v>
      </c>
      <c r="H2358" s="1" t="s">
        <v>20</v>
      </c>
      <c r="I2358" s="1" t="s">
        <v>20</v>
      </c>
      <c r="J2358" s="1" t="str">
        <f>"На обробці в СНАП"</f>
        <v>На обробці в СНАП</v>
      </c>
      <c r="K2358" s="1" t="s">
        <v>20</v>
      </c>
      <c r="L2358" s="1" t="s">
        <v>20</v>
      </c>
      <c r="M2358" s="1" t="s">
        <v>22</v>
      </c>
      <c r="N2358" s="1" t="s">
        <v>20</v>
      </c>
    </row>
    <row r="2359" spans="1:14" x14ac:dyDescent="0.3">
      <c r="A2359" s="1" t="str">
        <f>"26_382-11/2024/Н"</f>
        <v>26_382-11/2024/Н</v>
      </c>
      <c r="B2359" s="6">
        <v>45618</v>
      </c>
      <c r="C2359" s="1" t="str">
        <f>"00038"</f>
        <v>00038</v>
      </c>
      <c r="D235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59" s="1" t="s">
        <v>20</v>
      </c>
      <c r="F23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59" s="1" t="str">
        <f t="shared" si="329"/>
        <v>Фізична особа</v>
      </c>
      <c r="H2359" s="1" t="s">
        <v>20</v>
      </c>
      <c r="I2359" s="1" t="s">
        <v>20</v>
      </c>
      <c r="J2359" s="1" t="str">
        <f>"Закрито"</f>
        <v>Закрито</v>
      </c>
      <c r="K2359" s="5">
        <v>45618</v>
      </c>
      <c r="L2359" s="1" t="s">
        <v>20</v>
      </c>
      <c r="M2359" s="1" t="s">
        <v>22</v>
      </c>
      <c r="N2359" s="5">
        <v>45618</v>
      </c>
    </row>
    <row r="2360" spans="1:14" x14ac:dyDescent="0.3">
      <c r="A2360" s="1" t="str">
        <f>"26_383-11/2024/Н"</f>
        <v>26_383-11/2024/Н</v>
      </c>
      <c r="B2360" s="6">
        <v>45618</v>
      </c>
      <c r="C2360" s="1" t="str">
        <f>"00038"</f>
        <v>00038</v>
      </c>
      <c r="D236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60" s="1" t="s">
        <v>20</v>
      </c>
      <c r="F23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60" s="1" t="str">
        <f t="shared" si="329"/>
        <v>Фізична особа</v>
      </c>
      <c r="H2360" s="1" t="s">
        <v>20</v>
      </c>
      <c r="I2360" s="1" t="s">
        <v>20</v>
      </c>
      <c r="J2360" s="1" t="str">
        <f>"Закрито"</f>
        <v>Закрито</v>
      </c>
      <c r="K2360" s="5">
        <v>45618</v>
      </c>
      <c r="L2360" s="1" t="s">
        <v>20</v>
      </c>
      <c r="M2360" s="1" t="s">
        <v>22</v>
      </c>
      <c r="N2360" s="5">
        <v>45618</v>
      </c>
    </row>
    <row r="2361" spans="1:14" x14ac:dyDescent="0.3">
      <c r="A2361" s="1" t="str">
        <f>"9_1690/04054323-11/2024/В"</f>
        <v>9_1690/04054323-11/2024/В</v>
      </c>
      <c r="B2361" s="6">
        <v>45618</v>
      </c>
      <c r="C2361" s="1" t="str">
        <f>"01-1"</f>
        <v>01-1</v>
      </c>
      <c r="D2361" s="2" t="s">
        <v>0</v>
      </c>
      <c r="E2361" s="1" t="str">
        <f>"04054323"</f>
        <v>04054323</v>
      </c>
      <c r="F2361" s="1" t="str">
        <f>"Рогатинська міська рада"</f>
        <v>Рогатинська міська рада</v>
      </c>
      <c r="G2361" s="1" t="str">
        <f t="shared" si="329"/>
        <v>Фізична особа</v>
      </c>
      <c r="H2361" s="1" t="s">
        <v>20</v>
      </c>
      <c r="I2361" s="1" t="s">
        <v>20</v>
      </c>
      <c r="J2361" s="1" t="str">
        <f>"На обробці в СНАП"</f>
        <v>На обробці в СНАП</v>
      </c>
      <c r="K2361" s="1" t="s">
        <v>20</v>
      </c>
      <c r="L2361" s="1" t="s">
        <v>20</v>
      </c>
      <c r="M2361" s="1" t="s">
        <v>22</v>
      </c>
      <c r="N2361" s="1" t="s">
        <v>20</v>
      </c>
    </row>
    <row r="2362" spans="1:14" x14ac:dyDescent="0.3">
      <c r="A2362" s="1" t="str">
        <f>"12_902-11/2024/Ж"</f>
        <v>12_902-11/2024/Ж</v>
      </c>
      <c r="B2362" s="6">
        <v>45618</v>
      </c>
      <c r="C2362" s="1" t="str">
        <f>"00038"</f>
        <v>00038</v>
      </c>
      <c r="D236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62" s="1" t="s">
        <v>20</v>
      </c>
      <c r="F236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62" s="1" t="str">
        <f t="shared" si="329"/>
        <v>Фізична особа</v>
      </c>
      <c r="H2362" s="1" t="s">
        <v>20</v>
      </c>
      <c r="I2362" s="1" t="s">
        <v>20</v>
      </c>
      <c r="J2362" s="1" t="str">
        <f>"Закрито"</f>
        <v>Закрито</v>
      </c>
      <c r="K2362" s="5">
        <v>45618</v>
      </c>
      <c r="L2362" s="1" t="s">
        <v>20</v>
      </c>
      <c r="M2362" s="1" t="s">
        <v>22</v>
      </c>
      <c r="N2362" s="5">
        <v>45618</v>
      </c>
    </row>
    <row r="2363" spans="1:14" x14ac:dyDescent="0.3">
      <c r="A2363" s="1" t="str">
        <f>"26_384-11/2024/Н"</f>
        <v>26_384-11/2024/Н</v>
      </c>
      <c r="B2363" s="6">
        <v>45618</v>
      </c>
      <c r="C2363" s="1" t="str">
        <f>"00038"</f>
        <v>00038</v>
      </c>
      <c r="D236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63" s="1" t="s">
        <v>20</v>
      </c>
      <c r="F236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63" s="1" t="str">
        <f t="shared" si="329"/>
        <v>Фізична особа</v>
      </c>
      <c r="H2363" s="1" t="s">
        <v>20</v>
      </c>
      <c r="I2363" s="1" t="s">
        <v>20</v>
      </c>
      <c r="J2363" s="1" t="str">
        <f>"Закрито"</f>
        <v>Закрито</v>
      </c>
      <c r="K2363" s="5">
        <v>45618</v>
      </c>
      <c r="L2363" s="1" t="s">
        <v>20</v>
      </c>
      <c r="M2363" s="1" t="s">
        <v>22</v>
      </c>
      <c r="N2363" s="5">
        <v>45618</v>
      </c>
    </row>
    <row r="2364" spans="1:14" x14ac:dyDescent="0.3">
      <c r="A2364" s="1" t="str">
        <f>"12_903-11/2024/Ж"</f>
        <v>12_903-11/2024/Ж</v>
      </c>
      <c r="B2364" s="6">
        <v>45618</v>
      </c>
      <c r="C2364" s="1" t="str">
        <f>"00155"</f>
        <v>00155</v>
      </c>
      <c r="D2364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364" s="1" t="str">
        <f>"03193413"</f>
        <v>03193413</v>
      </c>
      <c r="F236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64" s="1" t="str">
        <f t="shared" si="329"/>
        <v>Фізична особа</v>
      </c>
      <c r="H2364" s="1" t="s">
        <v>20</v>
      </c>
      <c r="I2364" s="1" t="s">
        <v>20</v>
      </c>
      <c r="J2364" s="1" t="str">
        <f>"Результат підготовлено СНАП"</f>
        <v>Результат підготовлено СНАП</v>
      </c>
      <c r="K2364" s="5">
        <v>45632</v>
      </c>
      <c r="L2364" s="1" t="s">
        <v>20</v>
      </c>
      <c r="M2364" s="1" t="s">
        <v>22</v>
      </c>
      <c r="N2364" s="1" t="s">
        <v>20</v>
      </c>
    </row>
    <row r="2365" spans="1:14" x14ac:dyDescent="0.3">
      <c r="A2365" s="1" t="str">
        <f>"9_1691/04054323-11/2024/В"</f>
        <v>9_1691/04054323-11/2024/В</v>
      </c>
      <c r="B2365" s="6">
        <v>45618</v>
      </c>
      <c r="C2365" s="1" t="str">
        <f>"01"</f>
        <v>01</v>
      </c>
      <c r="D2365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2365" s="1" t="str">
        <f>"04054323"</f>
        <v>04054323</v>
      </c>
      <c r="F2365" s="1" t="str">
        <f>"Рогатинська міська рада"</f>
        <v>Рогатинська міська рада</v>
      </c>
      <c r="G2365" s="1" t="str">
        <f t="shared" si="329"/>
        <v>Фізична особа</v>
      </c>
      <c r="H2365" s="1" t="s">
        <v>20</v>
      </c>
      <c r="I2365" s="1" t="s">
        <v>20</v>
      </c>
      <c r="J2365" s="1" t="str">
        <f>"На обробці в СНАП"</f>
        <v>На обробці в СНАП</v>
      </c>
      <c r="K2365" s="1" t="s">
        <v>20</v>
      </c>
      <c r="L2365" s="1" t="s">
        <v>20</v>
      </c>
      <c r="M2365" s="1" t="s">
        <v>22</v>
      </c>
      <c r="N2365" s="1" t="s">
        <v>20</v>
      </c>
    </row>
    <row r="2366" spans="1:14" x14ac:dyDescent="0.3">
      <c r="A2366" s="1" t="str">
        <f>"26_385-11/2024/Ш"</f>
        <v>26_385-11/2024/Ш</v>
      </c>
      <c r="B2366" s="6">
        <v>45618</v>
      </c>
      <c r="C2366" s="1" t="str">
        <f>"00038"</f>
        <v>00038</v>
      </c>
      <c r="D236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66" s="1" t="s">
        <v>20</v>
      </c>
      <c r="F236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66" s="1" t="str">
        <f t="shared" si="329"/>
        <v>Фізична особа</v>
      </c>
      <c r="H2366" s="1" t="s">
        <v>20</v>
      </c>
      <c r="I2366" s="1" t="s">
        <v>20</v>
      </c>
      <c r="J2366" s="1" t="str">
        <f>"Закрито"</f>
        <v>Закрито</v>
      </c>
      <c r="K2366" s="5">
        <v>45618</v>
      </c>
      <c r="L2366" s="1" t="s">
        <v>20</v>
      </c>
      <c r="M2366" s="1" t="s">
        <v>22</v>
      </c>
      <c r="N2366" s="5">
        <v>45618</v>
      </c>
    </row>
    <row r="2367" spans="1:14" x14ac:dyDescent="0.3">
      <c r="A2367" s="1" t="str">
        <f>"26_386-11/2024/Ш"</f>
        <v>26_386-11/2024/Ш</v>
      </c>
      <c r="B2367" s="6">
        <v>45618</v>
      </c>
      <c r="C2367" s="1" t="str">
        <f>"00038"</f>
        <v>00038</v>
      </c>
      <c r="D236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67" s="1" t="s">
        <v>20</v>
      </c>
      <c r="F236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67" s="1" t="str">
        <f t="shared" si="329"/>
        <v>Фізична особа</v>
      </c>
      <c r="H2367" s="1" t="s">
        <v>20</v>
      </c>
      <c r="I2367" s="1" t="s">
        <v>20</v>
      </c>
      <c r="J2367" s="1" t="str">
        <f>"Закрито"</f>
        <v>Закрито</v>
      </c>
      <c r="K2367" s="5">
        <v>45618</v>
      </c>
      <c r="L2367" s="1" t="s">
        <v>20</v>
      </c>
      <c r="M2367" s="1" t="s">
        <v>22</v>
      </c>
      <c r="N2367" s="5">
        <v>45618</v>
      </c>
    </row>
    <row r="2368" spans="1:14" x14ac:dyDescent="0.3">
      <c r="A2368" s="1" t="str">
        <f>"9_564-11/2024/В"</f>
        <v>9_564-11/2024/В</v>
      </c>
      <c r="B2368" s="6">
        <v>45618</v>
      </c>
      <c r="C2368" s="1" t="str">
        <f>"00038"</f>
        <v>00038</v>
      </c>
      <c r="D236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68" s="1" t="s">
        <v>20</v>
      </c>
      <c r="F236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68" s="1" t="str">
        <f t="shared" si="329"/>
        <v>Фізична особа</v>
      </c>
      <c r="H2368" s="1" t="s">
        <v>20</v>
      </c>
      <c r="I2368" s="1" t="s">
        <v>20</v>
      </c>
      <c r="J2368" s="1" t="str">
        <f>"Закрито"</f>
        <v>Закрито</v>
      </c>
      <c r="K2368" s="5">
        <v>45618</v>
      </c>
      <c r="L2368" s="1" t="s">
        <v>20</v>
      </c>
      <c r="M2368" s="1" t="s">
        <v>22</v>
      </c>
      <c r="N2368" s="5">
        <v>45618</v>
      </c>
    </row>
    <row r="2369" spans="1:14" x14ac:dyDescent="0.3">
      <c r="A2369" s="1" t="str">
        <f>"9_1692/04054323-11/2024/Б"</f>
        <v>9_1692/04054323-11/2024/Б</v>
      </c>
      <c r="B2369" s="6">
        <v>45618</v>
      </c>
      <c r="C2369" s="1" t="str">
        <f>"01-1"</f>
        <v>01-1</v>
      </c>
      <c r="D2369" s="2" t="s">
        <v>0</v>
      </c>
      <c r="E2369" s="1" t="str">
        <f>"04054323"</f>
        <v>04054323</v>
      </c>
      <c r="F2369" s="1" t="str">
        <f>"Рогатинська міська рада"</f>
        <v>Рогатинська міська рада</v>
      </c>
      <c r="G2369" s="1" t="str">
        <f t="shared" si="329"/>
        <v>Фізична особа</v>
      </c>
      <c r="H2369" s="1" t="s">
        <v>20</v>
      </c>
      <c r="I2369" s="1" t="s">
        <v>20</v>
      </c>
      <c r="J2369" s="1" t="str">
        <f>"На обробці в СНАП"</f>
        <v>На обробці в СНАП</v>
      </c>
      <c r="K2369" s="1" t="s">
        <v>20</v>
      </c>
      <c r="L2369" s="1" t="s">
        <v>20</v>
      </c>
      <c r="M2369" s="1" t="s">
        <v>22</v>
      </c>
      <c r="N2369" s="1" t="s">
        <v>20</v>
      </c>
    </row>
    <row r="2370" spans="1:14" x14ac:dyDescent="0.3">
      <c r="A2370" s="1" t="str">
        <f>"9_565-11/2024/В"</f>
        <v>9_565-11/2024/В</v>
      </c>
      <c r="B2370" s="6">
        <v>45618</v>
      </c>
      <c r="C2370" s="1" t="str">
        <f>"00038"</f>
        <v>00038</v>
      </c>
      <c r="D237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70" s="1" t="s">
        <v>20</v>
      </c>
      <c r="F237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70" s="1" t="str">
        <f t="shared" si="329"/>
        <v>Фізична особа</v>
      </c>
      <c r="H2370" s="1" t="s">
        <v>20</v>
      </c>
      <c r="I2370" s="1" t="s">
        <v>20</v>
      </c>
      <c r="J2370" s="1" t="str">
        <f>"Закрито"</f>
        <v>Закрито</v>
      </c>
      <c r="K2370" s="5">
        <v>45618</v>
      </c>
      <c r="L2370" s="1" t="s">
        <v>20</v>
      </c>
      <c r="M2370" s="1" t="s">
        <v>22</v>
      </c>
      <c r="N2370" s="5">
        <v>45618</v>
      </c>
    </row>
    <row r="2371" spans="1:14" x14ac:dyDescent="0.3">
      <c r="A2371" s="1" t="str">
        <f>"2_2035/04054323-11/2024/К"</f>
        <v>2_2035/04054323-11/2024/К</v>
      </c>
      <c r="B2371" s="6">
        <v>45618</v>
      </c>
      <c r="C2371" s="1" t="str">
        <f>"01240"</f>
        <v>01240</v>
      </c>
      <c r="D2371" s="2" t="str">
        <f>"Прийняття рішення про зміну адреси об’єкта нерухомого майна"</f>
        <v>Прийняття рішення про зміну адреси об’єкта нерухомого майна</v>
      </c>
      <c r="E2371" s="1" t="str">
        <f>"04054323"</f>
        <v>04054323</v>
      </c>
      <c r="F2371" s="1" t="str">
        <f>"Рогатинська міська рада"</f>
        <v>Рогатинська міська рада</v>
      </c>
      <c r="G2371" s="1" t="str">
        <f t="shared" si="329"/>
        <v>Фізична особа</v>
      </c>
      <c r="H2371" s="1" t="s">
        <v>20</v>
      </c>
      <c r="I2371" s="1" t="s">
        <v>20</v>
      </c>
      <c r="J2371" s="1" t="str">
        <f>"Закрито"</f>
        <v>Закрито</v>
      </c>
      <c r="K2371" s="5">
        <v>45642</v>
      </c>
      <c r="L2371" s="1" t="s">
        <v>20</v>
      </c>
      <c r="M2371" s="1" t="s">
        <v>22</v>
      </c>
      <c r="N2371" s="5">
        <v>45642</v>
      </c>
    </row>
    <row r="2372" spans="1:14" x14ac:dyDescent="0.3">
      <c r="A2372" s="1" t="str">
        <f>"9_566-11/2024/В"</f>
        <v>9_566-11/2024/В</v>
      </c>
      <c r="B2372" s="6">
        <v>45618</v>
      </c>
      <c r="C2372" s="1" t="str">
        <f>"00038"</f>
        <v>00038</v>
      </c>
      <c r="D237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72" s="1" t="s">
        <v>20</v>
      </c>
      <c r="F237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72" s="1" t="str">
        <f t="shared" si="329"/>
        <v>Фізична особа</v>
      </c>
      <c r="H2372" s="1" t="s">
        <v>20</v>
      </c>
      <c r="I2372" s="1" t="s">
        <v>20</v>
      </c>
      <c r="J2372" s="1" t="str">
        <f>"Закрито"</f>
        <v>Закрито</v>
      </c>
      <c r="K2372" s="5">
        <v>45618</v>
      </c>
      <c r="L2372" s="1" t="s">
        <v>20</v>
      </c>
      <c r="M2372" s="1" t="s">
        <v>22</v>
      </c>
      <c r="N2372" s="5">
        <v>45618</v>
      </c>
    </row>
    <row r="2373" spans="1:14" x14ac:dyDescent="0.3">
      <c r="A2373" s="1" t="str">
        <f>"9_567-11/2024/В"</f>
        <v>9_567-11/2024/В</v>
      </c>
      <c r="B2373" s="6">
        <v>45618</v>
      </c>
      <c r="C2373" s="1" t="str">
        <f>"00155"</f>
        <v>00155</v>
      </c>
      <c r="D2373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373" s="1" t="str">
        <f>"03193413"</f>
        <v>03193413</v>
      </c>
      <c r="F237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73" s="1" t="str">
        <f t="shared" si="329"/>
        <v>Фізична особа</v>
      </c>
      <c r="H2373" s="1" t="s">
        <v>20</v>
      </c>
      <c r="I2373" s="1" t="s">
        <v>20</v>
      </c>
      <c r="J2373" s="1" t="str">
        <f>"Заявника сповіщено про результат"</f>
        <v>Заявника сповіщено про результат</v>
      </c>
      <c r="K2373" s="5">
        <v>45653</v>
      </c>
      <c r="L2373" s="1" t="s">
        <v>20</v>
      </c>
      <c r="M2373" s="1" t="s">
        <v>22</v>
      </c>
      <c r="N2373" s="5">
        <v>45653</v>
      </c>
    </row>
    <row r="2374" spans="1:14" x14ac:dyDescent="0.3">
      <c r="A2374" s="1" t="str">
        <f>"26_387-11/2024/В"</f>
        <v>26_387-11/2024/В</v>
      </c>
      <c r="B2374" s="6">
        <v>45618</v>
      </c>
      <c r="C2374" s="1" t="str">
        <f>"00037"</f>
        <v>00037</v>
      </c>
      <c r="D2374" s="2" t="str">
        <f>"Зняття з реєстрації місця проживання"</f>
        <v>Зняття з реєстрації місця проживання</v>
      </c>
      <c r="E2374" s="1" t="s">
        <v>20</v>
      </c>
      <c r="F237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74" s="1" t="str">
        <f t="shared" si="329"/>
        <v>Фізична особа</v>
      </c>
      <c r="H2374" s="1" t="s">
        <v>20</v>
      </c>
      <c r="I2374" s="1" t="s">
        <v>20</v>
      </c>
      <c r="J2374" s="1" t="str">
        <f>"Закрито"</f>
        <v>Закрито</v>
      </c>
      <c r="K2374" s="5">
        <v>45618</v>
      </c>
      <c r="L2374" s="1" t="str">
        <f>"45.42"</f>
        <v>45.42</v>
      </c>
      <c r="M2374" s="1" t="s">
        <v>22</v>
      </c>
      <c r="N2374" s="5">
        <v>45618</v>
      </c>
    </row>
    <row r="2375" spans="1:14" x14ac:dyDescent="0.3">
      <c r="A2375" s="1" t="str">
        <f>"8_84/2129-11/2024/К"</f>
        <v>8_84/2129-11/2024/К</v>
      </c>
      <c r="B2375" s="6">
        <v>45618</v>
      </c>
      <c r="C2375" s="1" t="str">
        <f>"00033"</f>
        <v>00033</v>
      </c>
      <c r="D2375" s="2" t="str">
        <f>"Державна реєстрація смерті"</f>
        <v>Державна реєстрація смерті</v>
      </c>
      <c r="E2375" s="1" t="s">
        <v>20</v>
      </c>
      <c r="F23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75" s="1" t="str">
        <f t="shared" si="329"/>
        <v>Фізична особа</v>
      </c>
      <c r="H2375" s="1" t="s">
        <v>20</v>
      </c>
      <c r="I2375" s="1" t="s">
        <v>20</v>
      </c>
      <c r="J2375" s="1" t="str">
        <f>"Закрито"</f>
        <v>Закрито</v>
      </c>
      <c r="K2375" s="5">
        <v>45618</v>
      </c>
      <c r="L2375" s="1" t="s">
        <v>20</v>
      </c>
      <c r="M2375" s="1" t="s">
        <v>22</v>
      </c>
      <c r="N2375" s="5">
        <v>45618</v>
      </c>
    </row>
    <row r="2376" spans="1:14" x14ac:dyDescent="0.3">
      <c r="A2376" s="1" t="str">
        <f>"25_440-11/2024/Ч"</f>
        <v>25_440-11/2024/Ч</v>
      </c>
      <c r="B2376" s="6">
        <v>45618</v>
      </c>
      <c r="C2376" s="1" t="str">
        <f>"33"</f>
        <v>33</v>
      </c>
      <c r="D2376" s="2" t="str">
        <f>"33 Довідки різного характеру"</f>
        <v>33 Довідки різного характеру</v>
      </c>
      <c r="E2376" s="1" t="s">
        <v>20</v>
      </c>
      <c r="F237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76" s="1" t="str">
        <f t="shared" si="329"/>
        <v>Фізична особа</v>
      </c>
      <c r="H2376" s="1" t="s">
        <v>20</v>
      </c>
      <c r="I2376" s="1" t="s">
        <v>20</v>
      </c>
      <c r="J2376" s="1" t="str">
        <f>"Закрито"</f>
        <v>Закрито</v>
      </c>
      <c r="K2376" s="5">
        <v>45618</v>
      </c>
      <c r="L2376" s="1" t="s">
        <v>20</v>
      </c>
      <c r="M2376" s="1" t="s">
        <v>22</v>
      </c>
      <c r="N2376" s="5">
        <v>45618</v>
      </c>
    </row>
    <row r="2377" spans="1:14" x14ac:dyDescent="0.3">
      <c r="A2377" s="1" t="str">
        <f>"5_503-11/2024/Д"</f>
        <v>5_503-11/2024/Д</v>
      </c>
      <c r="B2377" s="6">
        <v>45618</v>
      </c>
      <c r="C2377" s="1" t="str">
        <f>"00038"</f>
        <v>00038</v>
      </c>
      <c r="D237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77" s="1" t="s">
        <v>20</v>
      </c>
      <c r="F237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77" s="1" t="str">
        <f t="shared" si="329"/>
        <v>Фізична особа</v>
      </c>
      <c r="H2377" s="1" t="s">
        <v>20</v>
      </c>
      <c r="I2377" s="1" t="s">
        <v>20</v>
      </c>
      <c r="J2377" s="1" t="str">
        <f>"Закрито"</f>
        <v>Закрито</v>
      </c>
      <c r="K2377" s="5">
        <v>45618</v>
      </c>
      <c r="L2377" s="1" t="s">
        <v>20</v>
      </c>
      <c r="M2377" s="1" t="s">
        <v>22</v>
      </c>
      <c r="N2377" s="5">
        <v>45618</v>
      </c>
    </row>
    <row r="2378" spans="1:14" x14ac:dyDescent="0.3">
      <c r="A2378" s="1" t="str">
        <f>"9_1693/04054323-11/2024/Б"</f>
        <v>9_1693/04054323-11/2024/Б</v>
      </c>
      <c r="B2378" s="6">
        <v>45618</v>
      </c>
      <c r="C2378" s="1" t="str">
        <f>"01"</f>
        <v>01</v>
      </c>
      <c r="D2378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2378" s="1" t="str">
        <f>"04054323"</f>
        <v>04054323</v>
      </c>
      <c r="F2378" s="1" t="str">
        <f>"Рогатинська міська рада"</f>
        <v>Рогатинська міська рада</v>
      </c>
      <c r="G2378" s="1" t="str">
        <f t="shared" si="329"/>
        <v>Фізична особа</v>
      </c>
      <c r="H2378" s="1" t="s">
        <v>20</v>
      </c>
      <c r="I2378" s="1" t="s">
        <v>20</v>
      </c>
      <c r="J2378" s="1" t="str">
        <f>"На обробці в СНАП"</f>
        <v>На обробці в СНАП</v>
      </c>
      <c r="K2378" s="1" t="s">
        <v>20</v>
      </c>
      <c r="L2378" s="1" t="s">
        <v>20</v>
      </c>
      <c r="M2378" s="1" t="s">
        <v>22</v>
      </c>
      <c r="N2378" s="1" t="s">
        <v>20</v>
      </c>
    </row>
    <row r="2379" spans="1:14" x14ac:dyDescent="0.3">
      <c r="A2379" s="1" t="str">
        <f>"1_5996/2129-11/2024/К"</f>
        <v>1_5996/2129-11/2024/К</v>
      </c>
      <c r="B2379" s="6">
        <v>45618</v>
      </c>
      <c r="C2379" s="1" t="str">
        <f>"00037"</f>
        <v>00037</v>
      </c>
      <c r="D2379" s="2" t="str">
        <f>"Зняття з реєстрації місця проживання"</f>
        <v>Зняття з реєстрації місця проживання</v>
      </c>
      <c r="E2379" s="1" t="s">
        <v>20</v>
      </c>
      <c r="F237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79" s="1" t="str">
        <f t="shared" si="329"/>
        <v>Фізична особа</v>
      </c>
      <c r="H2379" s="1" t="s">
        <v>20</v>
      </c>
      <c r="I2379" s="1" t="s">
        <v>20</v>
      </c>
      <c r="J2379" s="1" t="str">
        <f>"Закрито"</f>
        <v>Закрито</v>
      </c>
      <c r="K2379" s="6">
        <v>45618</v>
      </c>
      <c r="L2379" s="1" t="s">
        <v>20</v>
      </c>
      <c r="M2379" s="1" t="s">
        <v>22</v>
      </c>
      <c r="N2379" s="5">
        <v>45618</v>
      </c>
    </row>
    <row r="2380" spans="1:14" x14ac:dyDescent="0.3">
      <c r="A2380" s="1" t="str">
        <f>"25_441-11/2024/Ч"</f>
        <v>25_441-11/2024/Ч</v>
      </c>
      <c r="B2380" s="6">
        <v>45618</v>
      </c>
      <c r="C2380" s="1" t="str">
        <f>"00038"</f>
        <v>00038</v>
      </c>
      <c r="D238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80" s="1" t="s">
        <v>20</v>
      </c>
      <c r="F238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80" s="1" t="str">
        <f t="shared" si="329"/>
        <v>Фізична особа</v>
      </c>
      <c r="H2380" s="1" t="s">
        <v>20</v>
      </c>
      <c r="I2380" s="1" t="s">
        <v>20</v>
      </c>
      <c r="J2380" s="1" t="str">
        <f>"Закрито"</f>
        <v>Закрито</v>
      </c>
      <c r="K2380" s="5">
        <v>45618</v>
      </c>
      <c r="L2380" s="1" t="s">
        <v>20</v>
      </c>
      <c r="M2380" s="1" t="s">
        <v>22</v>
      </c>
      <c r="N2380" s="5">
        <v>45618</v>
      </c>
    </row>
    <row r="2381" spans="1:14" x14ac:dyDescent="0.3">
      <c r="A2381" s="1" t="str">
        <f>"9_1694/04054323-11/2024/Ш"</f>
        <v>9_1694/04054323-11/2024/Ш</v>
      </c>
      <c r="B2381" s="6">
        <v>45618</v>
      </c>
      <c r="C2381" s="1" t="str">
        <f>"01-1"</f>
        <v>01-1</v>
      </c>
      <c r="D2381" s="2" t="s">
        <v>0</v>
      </c>
      <c r="E2381" s="1" t="str">
        <f>"04054323"</f>
        <v>04054323</v>
      </c>
      <c r="F2381" s="1" t="str">
        <f>"Рогатинська міська рада"</f>
        <v>Рогатинська міська рада</v>
      </c>
      <c r="G2381" s="1" t="str">
        <f t="shared" si="329"/>
        <v>Фізична особа</v>
      </c>
      <c r="H2381" s="1" t="s">
        <v>20</v>
      </c>
      <c r="I2381" s="1" t="s">
        <v>20</v>
      </c>
      <c r="J2381" s="1" t="str">
        <f>"На обробці в СНАП"</f>
        <v>На обробці в СНАП</v>
      </c>
      <c r="K2381" s="1" t="s">
        <v>20</v>
      </c>
      <c r="L2381" s="1" t="s">
        <v>20</v>
      </c>
      <c r="M2381" s="1" t="s">
        <v>22</v>
      </c>
      <c r="N2381" s="1" t="s">
        <v>20</v>
      </c>
    </row>
    <row r="2382" spans="1:14" x14ac:dyDescent="0.3">
      <c r="A2382" s="1" t="str">
        <f>"4_1298/03193413-11/2024/Я"</f>
        <v>4_1298/03193413-11/2024/Я</v>
      </c>
      <c r="B2382" s="6">
        <v>45618</v>
      </c>
      <c r="C2382" s="1" t="str">
        <f>"01974"</f>
        <v>01974</v>
      </c>
      <c r="D2382" s="2" t="str">
        <f>"Призначення пільги на оплату житла, комунальних послуг"</f>
        <v>Призначення пільги на оплату житла, комунальних послуг</v>
      </c>
      <c r="E2382" s="1" t="str">
        <f>"03193413"</f>
        <v>03193413</v>
      </c>
      <c r="F238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82" s="1" t="str">
        <f t="shared" si="329"/>
        <v>Фізична особа</v>
      </c>
      <c r="H2382" s="1" t="s">
        <v>20</v>
      </c>
      <c r="I2382" s="1" t="s">
        <v>20</v>
      </c>
      <c r="J2382" s="1" t="str">
        <f>"На обробці в СНАП"</f>
        <v>На обробці в СНАП</v>
      </c>
      <c r="K2382" s="1" t="s">
        <v>20</v>
      </c>
      <c r="L2382" s="1" t="s">
        <v>20</v>
      </c>
      <c r="M2382" s="1" t="s">
        <v>22</v>
      </c>
      <c r="N2382" s="1" t="s">
        <v>20</v>
      </c>
    </row>
    <row r="2383" spans="1:14" x14ac:dyDescent="0.3">
      <c r="A2383" s="1" t="str">
        <f>"4_1299/03193413-11/2024/З"</f>
        <v>4_1299/03193413-11/2024/З</v>
      </c>
      <c r="B2383" s="6">
        <v>45618</v>
      </c>
      <c r="C2383" s="1" t="str">
        <f>"00155"</f>
        <v>00155</v>
      </c>
      <c r="D2383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383" s="1" t="str">
        <f>"03193413"</f>
        <v>03193413</v>
      </c>
      <c r="F238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83" s="1" t="str">
        <f t="shared" si="329"/>
        <v>Фізична особа</v>
      </c>
      <c r="H2383" s="1" t="s">
        <v>20</v>
      </c>
      <c r="I2383" s="1" t="s">
        <v>20</v>
      </c>
      <c r="J2383" s="1" t="str">
        <f>"Закрито"</f>
        <v>Закрито</v>
      </c>
      <c r="K2383" s="5">
        <v>45629</v>
      </c>
      <c r="L2383" s="1" t="s">
        <v>20</v>
      </c>
      <c r="M2383" s="1" t="s">
        <v>22</v>
      </c>
      <c r="N2383" s="5">
        <v>45629</v>
      </c>
    </row>
    <row r="2384" spans="1:14" x14ac:dyDescent="0.3">
      <c r="A2384" s="1" t="str">
        <f>"9_1695/04054323-11/2024/Ш"</f>
        <v>9_1695/04054323-11/2024/Ш</v>
      </c>
      <c r="B2384" s="6">
        <v>45618</v>
      </c>
      <c r="C2384" s="1" t="str">
        <f>"01"</f>
        <v>01</v>
      </c>
      <c r="D2384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2384" s="1" t="str">
        <f>"04054323"</f>
        <v>04054323</v>
      </c>
      <c r="F2384" s="1" t="str">
        <f>"Рогатинська міська рада"</f>
        <v>Рогатинська міська рада</v>
      </c>
      <c r="G2384" s="1" t="str">
        <f t="shared" si="329"/>
        <v>Фізична особа</v>
      </c>
      <c r="H2384" s="1" t="s">
        <v>20</v>
      </c>
      <c r="I2384" s="1" t="s">
        <v>20</v>
      </c>
      <c r="J2384" s="1" t="str">
        <f>"На обробці в СНАП"</f>
        <v>На обробці в СНАП</v>
      </c>
      <c r="K2384" s="1" t="s">
        <v>20</v>
      </c>
      <c r="L2384" s="1" t="s">
        <v>20</v>
      </c>
      <c r="M2384" s="1" t="s">
        <v>22</v>
      </c>
      <c r="N2384" s="1" t="s">
        <v>20</v>
      </c>
    </row>
    <row r="2385" spans="1:14" x14ac:dyDescent="0.3">
      <c r="A2385" s="1" t="str">
        <f>"9_1696/04054323-11/2024/Я"</f>
        <v>9_1696/04054323-11/2024/Я</v>
      </c>
      <c r="B2385" s="6">
        <v>45618</v>
      </c>
      <c r="C2385" s="1" t="str">
        <f>"01-1"</f>
        <v>01-1</v>
      </c>
      <c r="D2385" s="2" t="s">
        <v>0</v>
      </c>
      <c r="E2385" s="1" t="str">
        <f>"04054323"</f>
        <v>04054323</v>
      </c>
      <c r="F2385" s="1" t="str">
        <f>"Рогатинська міська рада"</f>
        <v>Рогатинська міська рада</v>
      </c>
      <c r="G2385" s="1" t="str">
        <f t="shared" si="329"/>
        <v>Фізична особа</v>
      </c>
      <c r="H2385" s="1" t="s">
        <v>20</v>
      </c>
      <c r="I2385" s="1" t="s">
        <v>20</v>
      </c>
      <c r="J2385" s="1" t="str">
        <f>"На обробці в СНАП"</f>
        <v>На обробці в СНАП</v>
      </c>
      <c r="K2385" s="1" t="s">
        <v>20</v>
      </c>
      <c r="L2385" s="1" t="s">
        <v>20</v>
      </c>
      <c r="M2385" s="1" t="s">
        <v>22</v>
      </c>
      <c r="N2385" s="1" t="s">
        <v>20</v>
      </c>
    </row>
    <row r="2386" spans="1:14" x14ac:dyDescent="0.3">
      <c r="A2386" s="1" t="str">
        <f>"4_1300/03193413-11/2024/Г"</f>
        <v>4_1300/03193413-11/2024/Г</v>
      </c>
      <c r="B2386" s="6">
        <v>45618</v>
      </c>
      <c r="C2386" s="1" t="str">
        <f>"00143"</f>
        <v>00143</v>
      </c>
      <c r="D2386" s="2" t="str">
        <f>"Призначення державної допомоги у зв’язку з вагітністю та пологами жінкам, які не застраховані в системі загальнообов’язкового державного соціального страхування"</f>
        <v>Призначення державної допомоги у зв’язку з вагітністю та пологами жінкам, які не застраховані в системі загальнообов’язкового державного соціального страхування</v>
      </c>
      <c r="E2386" s="1" t="str">
        <f>"03193413"</f>
        <v>03193413</v>
      </c>
      <c r="F238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386" s="1" t="str">
        <f t="shared" si="329"/>
        <v>Фізична особа</v>
      </c>
      <c r="H2386" s="1" t="s">
        <v>20</v>
      </c>
      <c r="I2386" s="1" t="s">
        <v>20</v>
      </c>
      <c r="J2386" s="1" t="str">
        <f>"Зареєстрований"</f>
        <v>Зареєстрований</v>
      </c>
      <c r="K2386" s="1" t="s">
        <v>20</v>
      </c>
      <c r="L2386" s="1" t="s">
        <v>20</v>
      </c>
      <c r="M2386" s="1" t="s">
        <v>22</v>
      </c>
      <c r="N2386" s="1" t="s">
        <v>20</v>
      </c>
    </row>
    <row r="2387" spans="1:14" x14ac:dyDescent="0.3">
      <c r="A2387" s="1" t="str">
        <f>"9_1697/04054323-11/2024/В"</f>
        <v>9_1697/04054323-11/2024/В</v>
      </c>
      <c r="B2387" s="6">
        <v>45618</v>
      </c>
      <c r="C2387" s="1" t="str">
        <f>"01"</f>
        <v>01</v>
      </c>
      <c r="D2387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2387" s="1" t="str">
        <f>"04054323"</f>
        <v>04054323</v>
      </c>
      <c r="F2387" s="1" t="str">
        <f>"Рогатинська міська рада"</f>
        <v>Рогатинська міська рада</v>
      </c>
      <c r="G2387" s="1" t="str">
        <f t="shared" si="329"/>
        <v>Фізична особа</v>
      </c>
      <c r="H2387" s="1" t="s">
        <v>20</v>
      </c>
      <c r="I2387" s="1" t="s">
        <v>20</v>
      </c>
      <c r="J2387" s="1" t="str">
        <f>"На обробці в СНАП"</f>
        <v>На обробці в СНАП</v>
      </c>
      <c r="K2387" s="1" t="s">
        <v>20</v>
      </c>
      <c r="L2387" s="1" t="s">
        <v>20</v>
      </c>
      <c r="M2387" s="1" t="s">
        <v>22</v>
      </c>
      <c r="N2387" s="1" t="s">
        <v>20</v>
      </c>
    </row>
    <row r="2388" spans="1:14" x14ac:dyDescent="0.3">
      <c r="A2388" s="1" t="str">
        <f>"1_5997/2129-11/2024/І"</f>
        <v>1_5997/2129-11/2024/І</v>
      </c>
      <c r="B2388" s="6">
        <v>45618</v>
      </c>
      <c r="C2388" s="1" t="str">
        <f t="shared" ref="C2388:C2395" si="330">"00038"</f>
        <v>00038</v>
      </c>
      <c r="D2388" s="2" t="str">
        <f t="shared" ref="D2388:D2395" si="331"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88" s="1" t="s">
        <v>20</v>
      </c>
      <c r="F2388" s="1" t="str">
        <f t="shared" ref="F2388:F2395" si="332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88" s="1" t="str">
        <f t="shared" ref="G2388:G2411" si="333">"Фізична особа"</f>
        <v>Фізична особа</v>
      </c>
      <c r="H2388" s="1" t="s">
        <v>20</v>
      </c>
      <c r="I2388" s="1" t="s">
        <v>20</v>
      </c>
      <c r="J2388" s="1" t="str">
        <f t="shared" ref="J2388:J2400" si="334">"Закрито"</f>
        <v>Закрито</v>
      </c>
      <c r="K2388" s="6">
        <v>45618</v>
      </c>
      <c r="L2388" s="1" t="s">
        <v>20</v>
      </c>
      <c r="M2388" s="1" t="s">
        <v>22</v>
      </c>
      <c r="N2388" s="5">
        <v>45618</v>
      </c>
    </row>
    <row r="2389" spans="1:14" x14ac:dyDescent="0.3">
      <c r="A2389" s="1" t="str">
        <f>"1_5998/2129-11/2024/Ш"</f>
        <v>1_5998/2129-11/2024/Ш</v>
      </c>
      <c r="B2389" s="6">
        <v>45618</v>
      </c>
      <c r="C2389" s="1" t="str">
        <f t="shared" si="330"/>
        <v>00038</v>
      </c>
      <c r="D2389" s="2" t="str">
        <f t="shared" si="331"/>
        <v>Видача довідки про реєстрацію місця проживання або місця перебування особи</v>
      </c>
      <c r="E2389" s="1" t="s">
        <v>20</v>
      </c>
      <c r="F2389" s="1" t="str">
        <f t="shared" si="332"/>
        <v>Центр надання адміністративних послуг Рогатинської міської ради</v>
      </c>
      <c r="G2389" s="1" t="str">
        <f t="shared" si="333"/>
        <v>Фізична особа</v>
      </c>
      <c r="H2389" s="1" t="s">
        <v>20</v>
      </c>
      <c r="I2389" s="1" t="s">
        <v>20</v>
      </c>
      <c r="J2389" s="1" t="str">
        <f t="shared" si="334"/>
        <v>Закрито</v>
      </c>
      <c r="K2389" s="6">
        <v>45618</v>
      </c>
      <c r="L2389" s="1" t="s">
        <v>20</v>
      </c>
      <c r="M2389" s="1" t="s">
        <v>22</v>
      </c>
      <c r="N2389" s="5">
        <v>45618</v>
      </c>
    </row>
    <row r="2390" spans="1:14" x14ac:dyDescent="0.3">
      <c r="A2390" s="1" t="str">
        <f>"1_5999/2129-11/2024/Д"</f>
        <v>1_5999/2129-11/2024/Д</v>
      </c>
      <c r="B2390" s="6">
        <v>45618</v>
      </c>
      <c r="C2390" s="1" t="str">
        <f t="shared" si="330"/>
        <v>00038</v>
      </c>
      <c r="D2390" s="2" t="str">
        <f t="shared" si="331"/>
        <v>Видача довідки про реєстрацію місця проживання або місця перебування особи</v>
      </c>
      <c r="E2390" s="1" t="s">
        <v>20</v>
      </c>
      <c r="F2390" s="1" t="str">
        <f t="shared" si="332"/>
        <v>Центр надання адміністративних послуг Рогатинської міської ради</v>
      </c>
      <c r="G2390" s="1" t="str">
        <f t="shared" si="333"/>
        <v>Фізична особа</v>
      </c>
      <c r="H2390" s="1" t="s">
        <v>20</v>
      </c>
      <c r="I2390" s="1" t="s">
        <v>20</v>
      </c>
      <c r="J2390" s="1" t="str">
        <f t="shared" si="334"/>
        <v>Закрито</v>
      </c>
      <c r="K2390" s="6">
        <v>45618</v>
      </c>
      <c r="L2390" s="1" t="s">
        <v>20</v>
      </c>
      <c r="M2390" s="1" t="s">
        <v>22</v>
      </c>
      <c r="N2390" s="5">
        <v>45618</v>
      </c>
    </row>
    <row r="2391" spans="1:14" x14ac:dyDescent="0.3">
      <c r="A2391" s="1" t="str">
        <f>"9_568-11/2024/Д"</f>
        <v>9_568-11/2024/Д</v>
      </c>
      <c r="B2391" s="6">
        <v>45618</v>
      </c>
      <c r="C2391" s="1" t="str">
        <f t="shared" si="330"/>
        <v>00038</v>
      </c>
      <c r="D2391" s="2" t="str">
        <f t="shared" si="331"/>
        <v>Видача довідки про реєстрацію місця проживання або місця перебування особи</v>
      </c>
      <c r="E2391" s="1" t="s">
        <v>20</v>
      </c>
      <c r="F2391" s="1" t="str">
        <f t="shared" si="332"/>
        <v>Центр надання адміністративних послуг Рогатинської міської ради</v>
      </c>
      <c r="G2391" s="1" t="str">
        <f t="shared" si="333"/>
        <v>Фізична особа</v>
      </c>
      <c r="H2391" s="1" t="s">
        <v>20</v>
      </c>
      <c r="I2391" s="1" t="s">
        <v>20</v>
      </c>
      <c r="J2391" s="1" t="str">
        <f t="shared" si="334"/>
        <v>Закрито</v>
      </c>
      <c r="K2391" s="5">
        <v>45618</v>
      </c>
      <c r="L2391" s="1" t="s">
        <v>20</v>
      </c>
      <c r="M2391" s="1" t="s">
        <v>22</v>
      </c>
      <c r="N2391" s="5">
        <v>45618</v>
      </c>
    </row>
    <row r="2392" spans="1:14" x14ac:dyDescent="0.3">
      <c r="A2392" s="1" t="str">
        <f>"1_6000/2129-11/2024/М"</f>
        <v>1_6000/2129-11/2024/М</v>
      </c>
      <c r="B2392" s="6">
        <v>45618</v>
      </c>
      <c r="C2392" s="1" t="str">
        <f t="shared" si="330"/>
        <v>00038</v>
      </c>
      <c r="D2392" s="2" t="str">
        <f t="shared" si="331"/>
        <v>Видача довідки про реєстрацію місця проживання або місця перебування особи</v>
      </c>
      <c r="E2392" s="1" t="s">
        <v>20</v>
      </c>
      <c r="F2392" s="1" t="str">
        <f t="shared" si="332"/>
        <v>Центр надання адміністративних послуг Рогатинської міської ради</v>
      </c>
      <c r="G2392" s="1" t="str">
        <f t="shared" si="333"/>
        <v>Фізична особа</v>
      </c>
      <c r="H2392" s="1" t="s">
        <v>20</v>
      </c>
      <c r="I2392" s="1" t="s">
        <v>20</v>
      </c>
      <c r="J2392" s="1" t="str">
        <f t="shared" si="334"/>
        <v>Закрито</v>
      </c>
      <c r="K2392" s="6">
        <v>45618</v>
      </c>
      <c r="L2392" s="1" t="s">
        <v>20</v>
      </c>
      <c r="M2392" s="1" t="s">
        <v>22</v>
      </c>
      <c r="N2392" s="5">
        <v>45618</v>
      </c>
    </row>
    <row r="2393" spans="1:14" x14ac:dyDescent="0.3">
      <c r="A2393" s="1" t="str">
        <f>"9_569-11/2024/Д"</f>
        <v>9_569-11/2024/Д</v>
      </c>
      <c r="B2393" s="6">
        <v>45618</v>
      </c>
      <c r="C2393" s="1" t="str">
        <f t="shared" si="330"/>
        <v>00038</v>
      </c>
      <c r="D2393" s="2" t="str">
        <f t="shared" si="331"/>
        <v>Видача довідки про реєстрацію місця проживання або місця перебування особи</v>
      </c>
      <c r="E2393" s="1" t="s">
        <v>20</v>
      </c>
      <c r="F2393" s="1" t="str">
        <f t="shared" si="332"/>
        <v>Центр надання адміністративних послуг Рогатинської міської ради</v>
      </c>
      <c r="G2393" s="1" t="str">
        <f t="shared" si="333"/>
        <v>Фізична особа</v>
      </c>
      <c r="H2393" s="1" t="s">
        <v>20</v>
      </c>
      <c r="I2393" s="1" t="s">
        <v>20</v>
      </c>
      <c r="J2393" s="1" t="str">
        <f t="shared" si="334"/>
        <v>Закрито</v>
      </c>
      <c r="K2393" s="5">
        <v>45618</v>
      </c>
      <c r="L2393" s="1" t="s">
        <v>20</v>
      </c>
      <c r="M2393" s="1" t="s">
        <v>22</v>
      </c>
      <c r="N2393" s="5">
        <v>45618</v>
      </c>
    </row>
    <row r="2394" spans="1:14" x14ac:dyDescent="0.3">
      <c r="A2394" s="1" t="str">
        <f>"1_6001/2129-11/2024/П"</f>
        <v>1_6001/2129-11/2024/П</v>
      </c>
      <c r="B2394" s="6">
        <v>45618</v>
      </c>
      <c r="C2394" s="1" t="str">
        <f t="shared" si="330"/>
        <v>00038</v>
      </c>
      <c r="D2394" s="2" t="str">
        <f t="shared" si="331"/>
        <v>Видача довідки про реєстрацію місця проживання або місця перебування особи</v>
      </c>
      <c r="E2394" s="1" t="s">
        <v>20</v>
      </c>
      <c r="F2394" s="1" t="str">
        <f t="shared" si="332"/>
        <v>Центр надання адміністративних послуг Рогатинської міської ради</v>
      </c>
      <c r="G2394" s="1" t="str">
        <f t="shared" si="333"/>
        <v>Фізична особа</v>
      </c>
      <c r="H2394" s="1" t="s">
        <v>20</v>
      </c>
      <c r="I2394" s="1" t="s">
        <v>20</v>
      </c>
      <c r="J2394" s="1" t="str">
        <f t="shared" si="334"/>
        <v>Закрито</v>
      </c>
      <c r="K2394" s="6">
        <v>45618</v>
      </c>
      <c r="L2394" s="1" t="s">
        <v>20</v>
      </c>
      <c r="M2394" s="1" t="s">
        <v>22</v>
      </c>
      <c r="N2394" s="5">
        <v>45618</v>
      </c>
    </row>
    <row r="2395" spans="1:14" x14ac:dyDescent="0.3">
      <c r="A2395" s="1" t="str">
        <f>"1_6002/2129-11/2024/Д"</f>
        <v>1_6002/2129-11/2024/Д</v>
      </c>
      <c r="B2395" s="6">
        <v>45618</v>
      </c>
      <c r="C2395" s="1" t="str">
        <f t="shared" si="330"/>
        <v>00038</v>
      </c>
      <c r="D2395" s="2" t="str">
        <f t="shared" si="331"/>
        <v>Видача довідки про реєстрацію місця проживання або місця перебування особи</v>
      </c>
      <c r="E2395" s="1" t="s">
        <v>20</v>
      </c>
      <c r="F2395" s="1" t="str">
        <f t="shared" si="332"/>
        <v>Центр надання адміністративних послуг Рогатинської міської ради</v>
      </c>
      <c r="G2395" s="1" t="str">
        <f t="shared" si="333"/>
        <v>Фізична особа</v>
      </c>
      <c r="H2395" s="1" t="s">
        <v>20</v>
      </c>
      <c r="I2395" s="1" t="s">
        <v>20</v>
      </c>
      <c r="J2395" s="1" t="str">
        <f t="shared" si="334"/>
        <v>Закрито</v>
      </c>
      <c r="K2395" s="6">
        <v>45618</v>
      </c>
      <c r="L2395" s="1" t="s">
        <v>20</v>
      </c>
      <c r="M2395" s="1" t="s">
        <v>22</v>
      </c>
      <c r="N2395" s="5">
        <v>45618</v>
      </c>
    </row>
    <row r="2396" spans="1:14" x14ac:dyDescent="0.3">
      <c r="A2396" s="1" t="str">
        <f>"7_263/2-11/2024/К"</f>
        <v>7_263/2-11/2024/К</v>
      </c>
      <c r="B2396" s="6">
        <v>45618</v>
      </c>
      <c r="C2396" s="1" t="str">
        <f>"00026"</f>
        <v>00026</v>
      </c>
      <c r="D2396" s="2" t="str">
        <f>"Вклеювання до паспорта громадянина України (зразка 1994 року) фотокартки при досягненні 25- і 45-річного віку"</f>
        <v>Вклеювання до паспорта громадянина України (зразка 1994 року) фотокартки при досягненні 25- і 45-річного віку</v>
      </c>
      <c r="E2396" s="1" t="s">
        <v>20</v>
      </c>
      <c r="F2396" s="1" t="str">
        <f>"Рогатинський районний відділ ДМС України в Івано-Франківській області"</f>
        <v>Рогатинський районний відділ ДМС України в Івано-Франківській області</v>
      </c>
      <c r="G2396" s="1" t="str">
        <f t="shared" si="333"/>
        <v>Фізична особа</v>
      </c>
      <c r="H2396" s="1" t="s">
        <v>20</v>
      </c>
      <c r="I2396" s="1" t="s">
        <v>20</v>
      </c>
      <c r="J2396" s="1" t="str">
        <f t="shared" si="334"/>
        <v>Закрито</v>
      </c>
      <c r="K2396" s="5">
        <v>45623</v>
      </c>
      <c r="L2396" s="1" t="s">
        <v>20</v>
      </c>
      <c r="M2396" s="1" t="s">
        <v>22</v>
      </c>
      <c r="N2396" s="5">
        <v>45623</v>
      </c>
    </row>
    <row r="2397" spans="1:14" x14ac:dyDescent="0.3">
      <c r="A2397" s="1" t="str">
        <f>"1_6003/2129-11/2024/П"</f>
        <v>1_6003/2129-11/2024/П</v>
      </c>
      <c r="B2397" s="6">
        <v>45618</v>
      </c>
      <c r="C2397" s="1" t="str">
        <f>"00038"</f>
        <v>00038</v>
      </c>
      <c r="D239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97" s="1" t="s">
        <v>20</v>
      </c>
      <c r="F239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97" s="1" t="str">
        <f t="shared" si="333"/>
        <v>Фізична особа</v>
      </c>
      <c r="H2397" s="1" t="s">
        <v>20</v>
      </c>
      <c r="I2397" s="1" t="s">
        <v>20</v>
      </c>
      <c r="J2397" s="1" t="str">
        <f t="shared" si="334"/>
        <v>Закрито</v>
      </c>
      <c r="K2397" s="6">
        <v>45618</v>
      </c>
      <c r="L2397" s="1" t="s">
        <v>20</v>
      </c>
      <c r="M2397" s="1" t="s">
        <v>22</v>
      </c>
      <c r="N2397" s="5">
        <v>45618</v>
      </c>
    </row>
    <row r="2398" spans="1:14" x14ac:dyDescent="0.3">
      <c r="A2398" s="1" t="str">
        <f>"1_6004/2129-11/2024/К"</f>
        <v>1_6004/2129-11/2024/К</v>
      </c>
      <c r="B2398" s="6">
        <v>45618</v>
      </c>
      <c r="C2398" s="1" t="str">
        <f>"00038"</f>
        <v>00038</v>
      </c>
      <c r="D239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98" s="1" t="s">
        <v>20</v>
      </c>
      <c r="F239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98" s="1" t="str">
        <f t="shared" si="333"/>
        <v>Фізична особа</v>
      </c>
      <c r="H2398" s="1" t="s">
        <v>20</v>
      </c>
      <c r="I2398" s="1" t="s">
        <v>20</v>
      </c>
      <c r="J2398" s="1" t="str">
        <f t="shared" si="334"/>
        <v>Закрито</v>
      </c>
      <c r="K2398" s="6">
        <v>45618</v>
      </c>
      <c r="L2398" s="1" t="s">
        <v>20</v>
      </c>
      <c r="M2398" s="1" t="s">
        <v>22</v>
      </c>
      <c r="N2398" s="5">
        <v>45618</v>
      </c>
    </row>
    <row r="2399" spans="1:14" x14ac:dyDescent="0.3">
      <c r="A2399" s="1" t="str">
        <f>"1_6005/2129-11/2024/О"</f>
        <v>1_6005/2129-11/2024/О</v>
      </c>
      <c r="B2399" s="6">
        <v>45618</v>
      </c>
      <c r="C2399" s="1" t="str">
        <f>"00038"</f>
        <v>00038</v>
      </c>
      <c r="D239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399" s="1" t="s">
        <v>20</v>
      </c>
      <c r="F239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399" s="1" t="str">
        <f t="shared" si="333"/>
        <v>Фізична особа</v>
      </c>
      <c r="H2399" s="1" t="s">
        <v>20</v>
      </c>
      <c r="I2399" s="1" t="s">
        <v>20</v>
      </c>
      <c r="J2399" s="1" t="str">
        <f t="shared" si="334"/>
        <v>Закрито</v>
      </c>
      <c r="K2399" s="6">
        <v>45618</v>
      </c>
      <c r="L2399" s="1" t="s">
        <v>20</v>
      </c>
      <c r="M2399" s="1" t="s">
        <v>22</v>
      </c>
      <c r="N2399" s="5">
        <v>45618</v>
      </c>
    </row>
    <row r="2400" spans="1:14" x14ac:dyDescent="0.3">
      <c r="A2400" s="1" t="str">
        <f>"1_6006/2129-11/2024/П"</f>
        <v>1_6006/2129-11/2024/П</v>
      </c>
      <c r="B2400" s="6">
        <v>45618</v>
      </c>
      <c r="C2400" s="1" t="str">
        <f>"00038"</f>
        <v>00038</v>
      </c>
      <c r="D240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400" s="1" t="s">
        <v>20</v>
      </c>
      <c r="F240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00" s="1" t="str">
        <f t="shared" si="333"/>
        <v>Фізична особа</v>
      </c>
      <c r="H2400" s="1" t="s">
        <v>20</v>
      </c>
      <c r="I2400" s="1" t="s">
        <v>20</v>
      </c>
      <c r="J2400" s="1" t="str">
        <f t="shared" si="334"/>
        <v>Закрито</v>
      </c>
      <c r="K2400" s="6">
        <v>45618</v>
      </c>
      <c r="L2400" s="1" t="s">
        <v>20</v>
      </c>
      <c r="M2400" s="1" t="s">
        <v>22</v>
      </c>
      <c r="N2400" s="5">
        <v>45618</v>
      </c>
    </row>
    <row r="2401" spans="1:14" x14ac:dyDescent="0.3">
      <c r="A2401" s="1" t="str">
        <f>"33_421-11/2024/М"</f>
        <v>33_421-11/2024/М</v>
      </c>
      <c r="B2401" s="6">
        <v>45618</v>
      </c>
      <c r="C2401" s="1" t="str">
        <f>"01974"</f>
        <v>01974</v>
      </c>
      <c r="D2401" s="2" t="str">
        <f>"Призначення пільги на оплату житла, комунальних послуг"</f>
        <v>Призначення пільги на оплату житла, комунальних послуг</v>
      </c>
      <c r="E2401" s="1" t="str">
        <f>"03193413"</f>
        <v>03193413</v>
      </c>
      <c r="F240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01" s="1" t="str">
        <f t="shared" si="333"/>
        <v>Фізична особа</v>
      </c>
      <c r="H2401" s="1" t="s">
        <v>20</v>
      </c>
      <c r="I2401" s="1" t="s">
        <v>20</v>
      </c>
      <c r="J2401" s="1" t="str">
        <f>"На обробці в СНАП"</f>
        <v>На обробці в СНАП</v>
      </c>
      <c r="K2401" s="1" t="s">
        <v>20</v>
      </c>
      <c r="L2401" s="1" t="s">
        <v>20</v>
      </c>
      <c r="M2401" s="1" t="s">
        <v>22</v>
      </c>
      <c r="N2401" s="1" t="s">
        <v>20</v>
      </c>
    </row>
    <row r="2402" spans="1:14" x14ac:dyDescent="0.3">
      <c r="A2402" s="1" t="str">
        <f>"14_1022-11/2024/К"</f>
        <v>14_1022-11/2024/К</v>
      </c>
      <c r="B2402" s="6">
        <v>45618</v>
      </c>
      <c r="C2402" s="1" t="str">
        <f>"00038"</f>
        <v>00038</v>
      </c>
      <c r="D240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402" s="1" t="s">
        <v>20</v>
      </c>
      <c r="F240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02" s="1" t="str">
        <f t="shared" si="333"/>
        <v>Фізична особа</v>
      </c>
      <c r="H2402" s="1" t="s">
        <v>20</v>
      </c>
      <c r="I2402" s="1" t="s">
        <v>20</v>
      </c>
      <c r="J2402" s="1" t="str">
        <f>"Закрито"</f>
        <v>Закрито</v>
      </c>
      <c r="K2402" s="5">
        <v>45618</v>
      </c>
      <c r="L2402" s="1" t="s">
        <v>20</v>
      </c>
      <c r="M2402" s="1" t="s">
        <v>22</v>
      </c>
      <c r="N2402" s="5">
        <v>45618</v>
      </c>
    </row>
    <row r="2403" spans="1:14" x14ac:dyDescent="0.3">
      <c r="A2403" s="1" t="str">
        <f>"28_658-11/2024/К"</f>
        <v>28_658-11/2024/К</v>
      </c>
      <c r="B2403" s="6">
        <v>45618</v>
      </c>
      <c r="C2403" s="1" t="str">
        <f>"00133"</f>
        <v>00133</v>
      </c>
      <c r="D2403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403" s="1" t="str">
        <f>"03193413"</f>
        <v>03193413</v>
      </c>
      <c r="F240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03" s="1" t="str">
        <f t="shared" si="333"/>
        <v>Фізична особа</v>
      </c>
      <c r="H2403" s="1" t="s">
        <v>20</v>
      </c>
      <c r="I2403" s="1" t="s">
        <v>20</v>
      </c>
      <c r="J2403" s="1" t="str">
        <f>"Закрито"</f>
        <v>Закрито</v>
      </c>
      <c r="K2403" s="5">
        <v>45630</v>
      </c>
      <c r="L2403" s="1" t="s">
        <v>20</v>
      </c>
      <c r="M2403" s="1" t="s">
        <v>22</v>
      </c>
      <c r="N2403" s="5">
        <v>45630</v>
      </c>
    </row>
    <row r="2404" spans="1:14" x14ac:dyDescent="0.3">
      <c r="A2404" s="1" t="str">
        <f>"14_1023-11/2024/К"</f>
        <v>14_1023-11/2024/К</v>
      </c>
      <c r="B2404" s="6">
        <v>45618</v>
      </c>
      <c r="C2404" s="1" t="str">
        <f>"00038"</f>
        <v>00038</v>
      </c>
      <c r="D240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404" s="1" t="s">
        <v>20</v>
      </c>
      <c r="F240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04" s="1" t="str">
        <f t="shared" si="333"/>
        <v>Фізична особа</v>
      </c>
      <c r="H2404" s="1" t="s">
        <v>20</v>
      </c>
      <c r="I2404" s="1" t="s">
        <v>20</v>
      </c>
      <c r="J2404" s="1" t="str">
        <f>"Закрито"</f>
        <v>Закрито</v>
      </c>
      <c r="K2404" s="5">
        <v>45618</v>
      </c>
      <c r="L2404" s="1" t="s">
        <v>20</v>
      </c>
      <c r="M2404" s="1" t="s">
        <v>22</v>
      </c>
      <c r="N2404" s="5">
        <v>45618</v>
      </c>
    </row>
    <row r="2405" spans="1:14" x14ac:dyDescent="0.3">
      <c r="A2405" s="1" t="str">
        <f>"9_1698/04054323-11/2024/В"</f>
        <v>9_1698/04054323-11/2024/В</v>
      </c>
      <c r="B2405" s="6">
        <v>45618</v>
      </c>
      <c r="C2405" s="1" t="str">
        <f>"00179"</f>
        <v>00179</v>
      </c>
      <c r="D2405" s="2" t="str">
        <f>"Затвердження технічної документації з нормативної грошової оцінки земельної ділянки у межах населених пунктів"</f>
        <v>Затвердження технічної документації з нормативної грошової оцінки земельної ділянки у межах населених пунктів</v>
      </c>
      <c r="E2405" s="1" t="str">
        <f>"04054323"</f>
        <v>04054323</v>
      </c>
      <c r="F2405" s="1" t="str">
        <f>"Рогатинська міська рада"</f>
        <v>Рогатинська міська рада</v>
      </c>
      <c r="G2405" s="1" t="str">
        <f t="shared" si="333"/>
        <v>Фізична особа</v>
      </c>
      <c r="H2405" s="1" t="s">
        <v>20</v>
      </c>
      <c r="I2405" s="1" t="s">
        <v>20</v>
      </c>
      <c r="J2405" s="1" t="str">
        <f>"На обробці в СНАП"</f>
        <v>На обробці в СНАП</v>
      </c>
      <c r="K2405" s="1" t="s">
        <v>20</v>
      </c>
      <c r="L2405" s="1" t="s">
        <v>20</v>
      </c>
      <c r="M2405" s="1" t="s">
        <v>22</v>
      </c>
      <c r="N2405" s="1" t="s">
        <v>20</v>
      </c>
    </row>
    <row r="2406" spans="1:14" x14ac:dyDescent="0.3">
      <c r="A2406" s="1" t="str">
        <f>"30_631-11/2024/Г"</f>
        <v>30_631-11/2024/Г</v>
      </c>
      <c r="B2406" s="6">
        <v>45618</v>
      </c>
      <c r="C2406" s="1" t="str">
        <f>"00038"</f>
        <v>00038</v>
      </c>
      <c r="D240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406" s="1" t="s">
        <v>20</v>
      </c>
      <c r="F240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06" s="1" t="str">
        <f t="shared" si="333"/>
        <v>Фізична особа</v>
      </c>
      <c r="H2406" s="1" t="s">
        <v>20</v>
      </c>
      <c r="I2406" s="1" t="s">
        <v>20</v>
      </c>
      <c r="J2406" s="1" t="str">
        <f>"Закрито"</f>
        <v>Закрито</v>
      </c>
      <c r="K2406" s="5">
        <v>45618</v>
      </c>
      <c r="L2406" s="1" t="s">
        <v>20</v>
      </c>
      <c r="M2406" s="1" t="s">
        <v>22</v>
      </c>
      <c r="N2406" s="5">
        <v>45618</v>
      </c>
    </row>
    <row r="2407" spans="1:14" x14ac:dyDescent="0.3">
      <c r="A2407" s="1" t="str">
        <f>"12_904-11/2024/С"</f>
        <v>12_904-11/2024/С</v>
      </c>
      <c r="B2407" s="6">
        <v>45618</v>
      </c>
      <c r="C2407" s="1" t="str">
        <f>"00038"</f>
        <v>00038</v>
      </c>
      <c r="D240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407" s="1" t="s">
        <v>20</v>
      </c>
      <c r="F240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07" s="1" t="str">
        <f t="shared" si="333"/>
        <v>Фізична особа</v>
      </c>
      <c r="H2407" s="1" t="s">
        <v>20</v>
      </c>
      <c r="I2407" s="1" t="s">
        <v>20</v>
      </c>
      <c r="J2407" s="1" t="str">
        <f>"Закрито"</f>
        <v>Закрито</v>
      </c>
      <c r="K2407" s="5">
        <v>45618</v>
      </c>
      <c r="L2407" s="1" t="s">
        <v>20</v>
      </c>
      <c r="M2407" s="1" t="s">
        <v>22</v>
      </c>
      <c r="N2407" s="5">
        <v>45618</v>
      </c>
    </row>
    <row r="2408" spans="1:14" x14ac:dyDescent="0.3">
      <c r="A2408" s="1" t="str">
        <f>"3_871-11/2024/К"</f>
        <v>3_871-11/2024/К</v>
      </c>
      <c r="B2408" s="6">
        <v>45618</v>
      </c>
      <c r="C2408" s="1" t="str">
        <f>"00038"</f>
        <v>00038</v>
      </c>
      <c r="D240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408" s="1" t="s">
        <v>20</v>
      </c>
      <c r="F240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08" s="1" t="str">
        <f t="shared" si="333"/>
        <v>Фізична особа</v>
      </c>
      <c r="H2408" s="1" t="s">
        <v>20</v>
      </c>
      <c r="I2408" s="1" t="s">
        <v>20</v>
      </c>
      <c r="J2408" s="1" t="str">
        <f>"Закрито"</f>
        <v>Закрито</v>
      </c>
      <c r="K2408" s="5">
        <v>45618</v>
      </c>
      <c r="L2408" s="1" t="s">
        <v>20</v>
      </c>
      <c r="M2408" s="1" t="s">
        <v>22</v>
      </c>
      <c r="N2408" s="5">
        <v>45618</v>
      </c>
    </row>
    <row r="2409" spans="1:14" x14ac:dyDescent="0.3">
      <c r="A2409" s="1" t="str">
        <f>"3_872-11/2024/К"</f>
        <v>3_872-11/2024/К</v>
      </c>
      <c r="B2409" s="6">
        <v>45618</v>
      </c>
      <c r="C2409" s="1" t="str">
        <f>"33"</f>
        <v>33</v>
      </c>
      <c r="D2409" s="2" t="str">
        <f>"33 Довідки різного характеру"</f>
        <v>33 Довідки різного характеру</v>
      </c>
      <c r="E2409" s="1" t="s">
        <v>20</v>
      </c>
      <c r="F240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09" s="1" t="str">
        <f t="shared" si="333"/>
        <v>Фізична особа</v>
      </c>
      <c r="H2409" s="1" t="s">
        <v>20</v>
      </c>
      <c r="I2409" s="1" t="s">
        <v>20</v>
      </c>
      <c r="J2409" s="1" t="str">
        <f>"Закрито"</f>
        <v>Закрито</v>
      </c>
      <c r="K2409" s="5">
        <v>45618</v>
      </c>
      <c r="L2409" s="1" t="s">
        <v>20</v>
      </c>
      <c r="M2409" s="1" t="s">
        <v>22</v>
      </c>
      <c r="N2409" s="5">
        <v>45618</v>
      </c>
    </row>
    <row r="2410" spans="1:14" x14ac:dyDescent="0.3">
      <c r="A2410" s="1" t="str">
        <f>"16_694-11/2024/Я"</f>
        <v>16_694-11/2024/Я</v>
      </c>
      <c r="B2410" s="6">
        <v>45618</v>
      </c>
      <c r="C2410" s="1" t="str">
        <f>"00960"</f>
        <v>00960</v>
      </c>
      <c r="D2410" s="2" t="str">
        <f>"Призначення державної допомоги на дітей, які виховуються у багатодітних сім’ях"</f>
        <v>Призначення державної допомоги на дітей, які виховуються у багатодітних сім’ях</v>
      </c>
      <c r="E2410" s="1" t="str">
        <f>"03193413"</f>
        <v>03193413</v>
      </c>
      <c r="F241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10" s="1" t="str">
        <f t="shared" si="333"/>
        <v>Фізична особа</v>
      </c>
      <c r="H2410" s="1" t="s">
        <v>20</v>
      </c>
      <c r="I2410" s="1" t="s">
        <v>20</v>
      </c>
      <c r="J2410" s="1" t="str">
        <f>"Зареєстрований"</f>
        <v>Зареєстрований</v>
      </c>
      <c r="K2410" s="1" t="s">
        <v>20</v>
      </c>
      <c r="L2410" s="1" t="s">
        <v>20</v>
      </c>
      <c r="M2410" s="1" t="s">
        <v>22</v>
      </c>
      <c r="N2410" s="1" t="s">
        <v>20</v>
      </c>
    </row>
    <row r="2411" spans="1:14" x14ac:dyDescent="0.3">
      <c r="A2411" s="1" t="str">
        <f>"30_632-11/2024/Г"</f>
        <v>30_632-11/2024/Г</v>
      </c>
      <c r="B2411" s="6">
        <v>45618</v>
      </c>
      <c r="C2411" s="1" t="str">
        <f>"33"</f>
        <v>33</v>
      </c>
      <c r="D2411" s="2" t="str">
        <f>"33 Довідки різного характеру"</f>
        <v>33 Довідки різного характеру</v>
      </c>
      <c r="E2411" s="1" t="s">
        <v>20</v>
      </c>
      <c r="F2411" s="1" t="str">
        <f t="shared" ref="F2411:F2424" si="335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11" s="1" t="str">
        <f t="shared" si="333"/>
        <v>Фізична особа</v>
      </c>
      <c r="H2411" s="1" t="s">
        <v>20</v>
      </c>
      <c r="I2411" s="1" t="s">
        <v>20</v>
      </c>
      <c r="J2411" s="1" t="str">
        <f t="shared" ref="J2411:J2428" si="336">"Закрито"</f>
        <v>Закрито</v>
      </c>
      <c r="K2411" s="5">
        <v>45618</v>
      </c>
      <c r="L2411" s="1" t="s">
        <v>20</v>
      </c>
      <c r="M2411" s="1" t="s">
        <v>22</v>
      </c>
      <c r="N2411" s="5">
        <v>45618</v>
      </c>
    </row>
    <row r="2412" spans="1:14" x14ac:dyDescent="0.3">
      <c r="A2412" s="1" t="str">
        <f>"5_506/2129-11/2024/Л"</f>
        <v>5_506/2129-11/2024/Л</v>
      </c>
      <c r="B2412" s="6">
        <v>45618</v>
      </c>
      <c r="C2412" s="1" t="str">
        <f>"00054"</f>
        <v>00054</v>
      </c>
      <c r="D2412" s="2" t="s">
        <v>2</v>
      </c>
      <c r="E2412" s="1" t="s">
        <v>20</v>
      </c>
      <c r="F2412" s="1" t="str">
        <f t="shared" si="335"/>
        <v>Центр надання адміністративних послуг Рогатинської міської ради</v>
      </c>
      <c r="G2412" s="1" t="str">
        <f>"Юридична особа"</f>
        <v>Юридична особа</v>
      </c>
      <c r="H2412" s="1" t="str">
        <f>"ЛИПІВСЬКА ГІМНАЗІЯ ІМЕНІ СТЕФАНА КАЧАЛИ РОГАТИНСЬКОЇ МІСЬКОЇ РАДИ ІВАНО-ФРАНКІВСЬКОЇ ОБЛАСТІ"</f>
        <v>ЛИПІВСЬКА ГІМНАЗІЯ ІМЕНІ СТЕФАНА КАЧАЛИ РОГАТИНСЬКОЇ МІСЬКОЇ РАДИ ІВАНО-ФРАНКІВСЬКОЇ ОБЛАСТІ</v>
      </c>
      <c r="I2412" s="1" t="str">
        <f>"20560741"</f>
        <v>20560741</v>
      </c>
      <c r="J2412" s="1" t="str">
        <f t="shared" si="336"/>
        <v>Закрито</v>
      </c>
      <c r="K2412" s="5">
        <v>45618</v>
      </c>
      <c r="L2412" s="1" t="str">
        <f>"910.0"</f>
        <v>910.0</v>
      </c>
      <c r="M2412" s="1" t="s">
        <v>22</v>
      </c>
      <c r="N2412" s="5">
        <v>45618</v>
      </c>
    </row>
    <row r="2413" spans="1:14" x14ac:dyDescent="0.3">
      <c r="A2413" s="1" t="str">
        <f>"5_507/2129-11/2024/Т"</f>
        <v>5_507/2129-11/2024/Т</v>
      </c>
      <c r="B2413" s="6">
        <v>45618</v>
      </c>
      <c r="C2413" s="1" t="str">
        <f>"00054"</f>
        <v>00054</v>
      </c>
      <c r="D2413" s="2" t="s">
        <v>2</v>
      </c>
      <c r="E2413" s="1" t="s">
        <v>20</v>
      </c>
      <c r="F2413" s="1" t="str">
        <f t="shared" si="335"/>
        <v>Центр надання адміністративних послуг Рогатинської міської ради</v>
      </c>
      <c r="G2413" s="1" t="str">
        <f>"Юридична особа"</f>
        <v>Юридична особа</v>
      </c>
      <c r="H2413" s="1" t="str">
        <f>"ТОВАРИСТВО З ОБМЕЖЕНОЮ ВІДПОВІДАЛЬНІСТЮ АГРОФІРМА ""КЛІЩІВНА"""</f>
        <v>ТОВАРИСТВО З ОБМЕЖЕНОЮ ВІДПОВІДАЛЬНІСТЮ АГРОФІРМА "КЛІЩІВНА"</v>
      </c>
      <c r="I2413" s="1" t="str">
        <f>"33260217"</f>
        <v>33260217</v>
      </c>
      <c r="J2413" s="1" t="str">
        <f t="shared" si="336"/>
        <v>Закрито</v>
      </c>
      <c r="K2413" s="5">
        <v>45618</v>
      </c>
      <c r="L2413" s="1" t="str">
        <f>"910.0"</f>
        <v>910.0</v>
      </c>
      <c r="M2413" s="1" t="s">
        <v>22</v>
      </c>
      <c r="N2413" s="5">
        <v>45618</v>
      </c>
    </row>
    <row r="2414" spans="1:14" x14ac:dyDescent="0.3">
      <c r="A2414" s="1" t="str">
        <f>"5_508/2129-11/2024/Ф"</f>
        <v>5_508/2129-11/2024/Ф</v>
      </c>
      <c r="B2414" s="6">
        <v>45618</v>
      </c>
      <c r="C2414" s="1" t="str">
        <f>"00054"</f>
        <v>00054</v>
      </c>
      <c r="D2414" s="2" t="s">
        <v>2</v>
      </c>
      <c r="E2414" s="1" t="s">
        <v>20</v>
      </c>
      <c r="F2414" s="1" t="str">
        <f t="shared" si="335"/>
        <v>Центр надання адміністративних послуг Рогатинської міської ради</v>
      </c>
      <c r="G2414" s="1" t="str">
        <f>"Юридична особа"</f>
        <v>Юридична особа</v>
      </c>
      <c r="H2414" s="1" t="str">
        <f>"ФЕРМЕРСЬКЕ ГОСПОДАРСТВО ""ТОРО"""</f>
        <v>ФЕРМЕРСЬКЕ ГОСПОДАРСТВО "ТОРО"</v>
      </c>
      <c r="I2414" s="1" t="str">
        <f>"22183811"</f>
        <v>22183811</v>
      </c>
      <c r="J2414" s="1" t="str">
        <f t="shared" si="336"/>
        <v>Закрито</v>
      </c>
      <c r="K2414" s="5">
        <v>45618</v>
      </c>
      <c r="L2414" s="1" t="str">
        <f>"910.0"</f>
        <v>910.0</v>
      </c>
      <c r="M2414" s="1" t="s">
        <v>22</v>
      </c>
      <c r="N2414" s="5">
        <v>45618</v>
      </c>
    </row>
    <row r="2415" spans="1:14" x14ac:dyDescent="0.3">
      <c r="A2415" s="1" t="str">
        <f>"22_561-11/2024/Г"</f>
        <v>22_561-11/2024/Г</v>
      </c>
      <c r="B2415" s="6">
        <v>45618</v>
      </c>
      <c r="C2415" s="1" t="str">
        <f>"33"</f>
        <v>33</v>
      </c>
      <c r="D2415" s="2" t="str">
        <f>"33 Довідки різного характеру"</f>
        <v>33 Довідки різного характеру</v>
      </c>
      <c r="E2415" s="1" t="s">
        <v>20</v>
      </c>
      <c r="F2415" s="1" t="str">
        <f t="shared" si="335"/>
        <v>Центр надання адміністративних послуг Рогатинської міської ради</v>
      </c>
      <c r="G2415" s="1" t="str">
        <f>"Фізична особа"</f>
        <v>Фізична особа</v>
      </c>
      <c r="H2415" s="1" t="s">
        <v>20</v>
      </c>
      <c r="I2415" s="1" t="s">
        <v>20</v>
      </c>
      <c r="J2415" s="1" t="str">
        <f t="shared" si="336"/>
        <v>Закрито</v>
      </c>
      <c r="K2415" s="5">
        <v>45618</v>
      </c>
      <c r="L2415" s="1" t="s">
        <v>20</v>
      </c>
      <c r="M2415" s="1" t="s">
        <v>22</v>
      </c>
      <c r="N2415" s="5">
        <v>45618</v>
      </c>
    </row>
    <row r="2416" spans="1:14" x14ac:dyDescent="0.3">
      <c r="A2416" s="1" t="str">
        <f>"5_509/2129-11/2024/В"</f>
        <v>5_509/2129-11/2024/В</v>
      </c>
      <c r="B2416" s="6">
        <v>45618</v>
      </c>
      <c r="C2416" s="1" t="str">
        <f>"00106"</f>
        <v>00106</v>
      </c>
      <c r="D2416" s="2" t="str">
        <f>"Державна реєстрація фізичної особи -  підприємця"</f>
        <v>Державна реєстрація фізичної особи -  підприємця</v>
      </c>
      <c r="E2416" s="1" t="s">
        <v>20</v>
      </c>
      <c r="F2416" s="1" t="str">
        <f t="shared" si="335"/>
        <v>Центр надання адміністративних послуг Рогатинської міської ради</v>
      </c>
      <c r="G2416" s="1" t="str">
        <f>"Фізична особа"</f>
        <v>Фізична особа</v>
      </c>
      <c r="H2416" s="1" t="s">
        <v>20</v>
      </c>
      <c r="I2416" s="1" t="s">
        <v>20</v>
      </c>
      <c r="J2416" s="1" t="str">
        <f t="shared" si="336"/>
        <v>Закрито</v>
      </c>
      <c r="K2416" s="5">
        <v>45618</v>
      </c>
      <c r="L2416" s="1" t="s">
        <v>20</v>
      </c>
      <c r="M2416" s="1" t="s">
        <v>22</v>
      </c>
      <c r="N2416" s="5">
        <v>45618</v>
      </c>
    </row>
    <row r="2417" spans="1:14" x14ac:dyDescent="0.3">
      <c r="A2417" s="1" t="str">
        <f>"5_510/2129-11/2024/К"</f>
        <v>5_510/2129-11/2024/К</v>
      </c>
      <c r="B2417" s="6">
        <v>45618</v>
      </c>
      <c r="C2417" s="1" t="str">
        <f>"00106"</f>
        <v>00106</v>
      </c>
      <c r="D2417" s="2" t="str">
        <f>"Державна реєстрація фізичної особи -  підприємця"</f>
        <v>Державна реєстрація фізичної особи -  підприємця</v>
      </c>
      <c r="E2417" s="1" t="s">
        <v>20</v>
      </c>
      <c r="F2417" s="1" t="str">
        <f t="shared" si="335"/>
        <v>Центр надання адміністративних послуг Рогатинської міської ради</v>
      </c>
      <c r="G2417" s="1" t="str">
        <f>"Фізична особа"</f>
        <v>Фізична особа</v>
      </c>
      <c r="H2417" s="1" t="s">
        <v>20</v>
      </c>
      <c r="I2417" s="1" t="s">
        <v>20</v>
      </c>
      <c r="J2417" s="1" t="str">
        <f t="shared" si="336"/>
        <v>Закрито</v>
      </c>
      <c r="K2417" s="5">
        <v>45618</v>
      </c>
      <c r="L2417" s="1" t="s">
        <v>20</v>
      </c>
      <c r="M2417" s="1" t="s">
        <v>22</v>
      </c>
      <c r="N2417" s="5">
        <v>45618</v>
      </c>
    </row>
    <row r="2418" spans="1:14" x14ac:dyDescent="0.3">
      <c r="A2418" s="1" t="str">
        <f>"22_562-11/2024/К"</f>
        <v>22_562-11/2024/К</v>
      </c>
      <c r="B2418" s="6">
        <v>45618</v>
      </c>
      <c r="C2418" s="1" t="str">
        <f>"33"</f>
        <v>33</v>
      </c>
      <c r="D2418" s="2" t="str">
        <f>"33 Довідки різного характеру"</f>
        <v>33 Довідки різного характеру</v>
      </c>
      <c r="E2418" s="1" t="s">
        <v>20</v>
      </c>
      <c r="F2418" s="1" t="str">
        <f t="shared" si="335"/>
        <v>Центр надання адміністративних послуг Рогатинської міської ради</v>
      </c>
      <c r="G2418" s="1" t="str">
        <f>"Фізична особа"</f>
        <v>Фізична особа</v>
      </c>
      <c r="H2418" s="1" t="s">
        <v>20</v>
      </c>
      <c r="I2418" s="1" t="s">
        <v>20</v>
      </c>
      <c r="J2418" s="1" t="str">
        <f t="shared" si="336"/>
        <v>Закрито</v>
      </c>
      <c r="K2418" s="5">
        <v>45618</v>
      </c>
      <c r="L2418" s="1" t="s">
        <v>20</v>
      </c>
      <c r="M2418" s="1" t="s">
        <v>22</v>
      </c>
      <c r="N2418" s="5">
        <v>45618</v>
      </c>
    </row>
    <row r="2419" spans="1:14" x14ac:dyDescent="0.3">
      <c r="A2419" s="1" t="str">
        <f>"5_511/2129-11/2024/К"</f>
        <v>5_511/2129-11/2024/К</v>
      </c>
      <c r="B2419" s="6">
        <v>45618</v>
      </c>
      <c r="C2419" s="1" t="str">
        <f>"00054"</f>
        <v>00054</v>
      </c>
      <c r="D2419" s="2" t="s">
        <v>2</v>
      </c>
      <c r="E2419" s="1" t="s">
        <v>20</v>
      </c>
      <c r="F2419" s="1" t="str">
        <f t="shared" si="335"/>
        <v>Центр надання адміністративних послуг Рогатинської міської ради</v>
      </c>
      <c r="G2419" s="1" t="str">
        <f>"Юридична особа"</f>
        <v>Юридична особа</v>
      </c>
      <c r="H2419" s="1" t="str">
        <f>"КРЕДИТНА СПІЛКА ""КРЕДО"""</f>
        <v>КРЕДИТНА СПІЛКА "КРЕДО"</v>
      </c>
      <c r="I2419" s="1" t="str">
        <f>"26535419"</f>
        <v>26535419</v>
      </c>
      <c r="J2419" s="1" t="str">
        <f t="shared" si="336"/>
        <v>Закрито</v>
      </c>
      <c r="K2419" s="1" t="s">
        <v>20</v>
      </c>
      <c r="L2419" s="1" t="s">
        <v>20</v>
      </c>
      <c r="M2419" s="1" t="s">
        <v>22</v>
      </c>
      <c r="N2419" s="1" t="s">
        <v>20</v>
      </c>
    </row>
    <row r="2420" spans="1:14" x14ac:dyDescent="0.3">
      <c r="A2420" s="1" t="str">
        <f>"5_512/2129-11/2024/Т"</f>
        <v>5_512/2129-11/2024/Т</v>
      </c>
      <c r="B2420" s="6">
        <v>45618</v>
      </c>
      <c r="C2420" s="1" t="str">
        <f>"00054"</f>
        <v>00054</v>
      </c>
      <c r="D2420" s="2" t="s">
        <v>2</v>
      </c>
      <c r="E2420" s="1" t="s">
        <v>20</v>
      </c>
      <c r="F2420" s="1" t="str">
        <f t="shared" si="335"/>
        <v>Центр надання адміністративних послуг Рогатинської міської ради</v>
      </c>
      <c r="G2420" s="1" t="str">
        <f>"Юридична особа"</f>
        <v>Юридична особа</v>
      </c>
      <c r="H2420" s="1" t="str">
        <f>"ТОВАРИСТВО З ОБМЕЖЕНОЮ ВІДПОВІДАЛЬНІСТЮ ""ОБЮА"""</f>
        <v>ТОВАРИСТВО З ОБМЕЖЕНОЮ ВІДПОВІДАЛЬНІСТЮ "ОБЮА"</v>
      </c>
      <c r="I2420" s="1" t="str">
        <f>"41501743"</f>
        <v>41501743</v>
      </c>
      <c r="J2420" s="1" t="str">
        <f t="shared" si="336"/>
        <v>Закрито</v>
      </c>
      <c r="K2420" s="5">
        <v>45618</v>
      </c>
      <c r="L2420" s="1" t="s">
        <v>20</v>
      </c>
      <c r="M2420" s="1" t="s">
        <v>22</v>
      </c>
      <c r="N2420" s="5">
        <v>45618</v>
      </c>
    </row>
    <row r="2421" spans="1:14" x14ac:dyDescent="0.3">
      <c r="A2421" s="1" t="str">
        <f>"5_513/2129-11/2024/Ф"</f>
        <v>5_513/2129-11/2024/Ф</v>
      </c>
      <c r="B2421" s="6">
        <v>45618</v>
      </c>
      <c r="C2421" s="1" t="str">
        <f>"00234"</f>
        <v>00234</v>
      </c>
      <c r="D2421" s="2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2421" s="1" t="s">
        <v>20</v>
      </c>
      <c r="F2421" s="1" t="str">
        <f t="shared" si="335"/>
        <v>Центр надання адміністративних послуг Рогатинської міської ради</v>
      </c>
      <c r="G2421" s="1" t="str">
        <f>"Юридична особа"</f>
        <v>Юридична особа</v>
      </c>
      <c r="H2421" s="1" t="str">
        <f>"ФЕРМЕРСЬКЕ ГОСПОДАРСТВО ""ТОРО"""</f>
        <v>ФЕРМЕРСЬКЕ ГОСПОДАРСТВО "ТОРО"</v>
      </c>
      <c r="I2421" s="1" t="str">
        <f>"22183811"</f>
        <v>22183811</v>
      </c>
      <c r="J2421" s="1" t="str">
        <f t="shared" si="336"/>
        <v>Закрито</v>
      </c>
      <c r="K2421" s="5">
        <v>45618</v>
      </c>
      <c r="L2421" s="1" t="s">
        <v>20</v>
      </c>
      <c r="M2421" s="1" t="s">
        <v>22</v>
      </c>
      <c r="N2421" s="5">
        <v>45618</v>
      </c>
    </row>
    <row r="2422" spans="1:14" x14ac:dyDescent="0.3">
      <c r="A2422" s="1" t="str">
        <f>"18_646-11/2024/К"</f>
        <v>18_646-11/2024/К</v>
      </c>
      <c r="B2422" s="6">
        <v>45618</v>
      </c>
      <c r="C2422" s="1" t="str">
        <f>"33"</f>
        <v>33</v>
      </c>
      <c r="D2422" s="2" t="str">
        <f>"33 Довідки різного характеру"</f>
        <v>33 Довідки різного характеру</v>
      </c>
      <c r="E2422" s="1" t="s">
        <v>20</v>
      </c>
      <c r="F2422" s="1" t="str">
        <f t="shared" si="335"/>
        <v>Центр надання адміністративних послуг Рогатинської міської ради</v>
      </c>
      <c r="G2422" s="1" t="str">
        <f t="shared" ref="G2422:G2458" si="337">"Фізична особа"</f>
        <v>Фізична особа</v>
      </c>
      <c r="H2422" s="1" t="s">
        <v>20</v>
      </c>
      <c r="I2422" s="1" t="s">
        <v>20</v>
      </c>
      <c r="J2422" s="1" t="str">
        <f t="shared" si="336"/>
        <v>Закрито</v>
      </c>
      <c r="K2422" s="5">
        <v>45618</v>
      </c>
      <c r="L2422" s="1" t="s">
        <v>20</v>
      </c>
      <c r="M2422" s="1" t="s">
        <v>22</v>
      </c>
      <c r="N2422" s="5">
        <v>45618</v>
      </c>
    </row>
    <row r="2423" spans="1:14" x14ac:dyDescent="0.3">
      <c r="A2423" s="1" t="str">
        <f>"24_348-11/2024/О"</f>
        <v>24_348-11/2024/О</v>
      </c>
      <c r="B2423" s="6">
        <v>45618</v>
      </c>
      <c r="C2423" s="1" t="str">
        <f>"00038"</f>
        <v>00038</v>
      </c>
      <c r="D242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423" s="1" t="s">
        <v>20</v>
      </c>
      <c r="F2423" s="1" t="str">
        <f t="shared" si="335"/>
        <v>Центр надання адміністративних послуг Рогатинської міської ради</v>
      </c>
      <c r="G2423" s="1" t="str">
        <f t="shared" si="337"/>
        <v>Фізична особа</v>
      </c>
      <c r="H2423" s="1" t="s">
        <v>20</v>
      </c>
      <c r="I2423" s="1" t="s">
        <v>20</v>
      </c>
      <c r="J2423" s="1" t="str">
        <f t="shared" si="336"/>
        <v>Закрито</v>
      </c>
      <c r="K2423" s="5">
        <v>45618</v>
      </c>
      <c r="L2423" s="1" t="s">
        <v>20</v>
      </c>
      <c r="M2423" s="1" t="s">
        <v>22</v>
      </c>
      <c r="N2423" s="5">
        <v>45618</v>
      </c>
    </row>
    <row r="2424" spans="1:14" x14ac:dyDescent="0.3">
      <c r="A2424" s="1" t="str">
        <f>"12_905-11/2024/Н"</f>
        <v>12_905-11/2024/Н</v>
      </c>
      <c r="B2424" s="6">
        <v>45618</v>
      </c>
      <c r="C2424" s="1" t="str">
        <f>"00038"</f>
        <v>00038</v>
      </c>
      <c r="D242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424" s="1" t="s">
        <v>20</v>
      </c>
      <c r="F2424" s="1" t="str">
        <f t="shared" si="335"/>
        <v>Центр надання адміністративних послуг Рогатинської міської ради</v>
      </c>
      <c r="G2424" s="1" t="str">
        <f t="shared" si="337"/>
        <v>Фізична особа</v>
      </c>
      <c r="H2424" s="1" t="s">
        <v>20</v>
      </c>
      <c r="I2424" s="1" t="s">
        <v>20</v>
      </c>
      <c r="J2424" s="1" t="str">
        <f t="shared" si="336"/>
        <v>Закрито</v>
      </c>
      <c r="K2424" s="5">
        <v>45618</v>
      </c>
      <c r="L2424" s="1" t="s">
        <v>20</v>
      </c>
      <c r="M2424" s="1" t="s">
        <v>22</v>
      </c>
      <c r="N2424" s="5">
        <v>45618</v>
      </c>
    </row>
    <row r="2425" spans="1:14" x14ac:dyDescent="0.3">
      <c r="A2425" s="1" t="str">
        <f>"3_873-11/2024/К"</f>
        <v>3_873-11/2024/К</v>
      </c>
      <c r="B2425" s="6">
        <v>45618</v>
      </c>
      <c r="C2425" s="1" t="str">
        <f>"00155"</f>
        <v>00155</v>
      </c>
      <c r="D2425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425" s="1" t="str">
        <f>"03193413"</f>
        <v>03193413</v>
      </c>
      <c r="F242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25" s="1" t="str">
        <f t="shared" si="337"/>
        <v>Фізична особа</v>
      </c>
      <c r="H2425" s="1" t="s">
        <v>20</v>
      </c>
      <c r="I2425" s="1" t="s">
        <v>20</v>
      </c>
      <c r="J2425" s="1" t="str">
        <f t="shared" si="336"/>
        <v>Закрито</v>
      </c>
      <c r="K2425" s="5">
        <v>45631</v>
      </c>
      <c r="L2425" s="1" t="s">
        <v>20</v>
      </c>
      <c r="M2425" s="1" t="s">
        <v>22</v>
      </c>
      <c r="N2425" s="5">
        <v>45631</v>
      </c>
    </row>
    <row r="2426" spans="1:14" x14ac:dyDescent="0.3">
      <c r="A2426" s="1" t="str">
        <f>"18_647-11/2024/К"</f>
        <v>18_647-11/2024/К</v>
      </c>
      <c r="B2426" s="6">
        <v>45618</v>
      </c>
      <c r="C2426" s="1" t="str">
        <f>"33"</f>
        <v>33</v>
      </c>
      <c r="D2426" s="2" t="str">
        <f>"33 Довідки різного характеру"</f>
        <v>33 Довідки різного характеру</v>
      </c>
      <c r="E2426" s="1" t="s">
        <v>20</v>
      </c>
      <c r="F242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26" s="1" t="str">
        <f t="shared" si="337"/>
        <v>Фізична особа</v>
      </c>
      <c r="H2426" s="1" t="s">
        <v>20</v>
      </c>
      <c r="I2426" s="1" t="s">
        <v>20</v>
      </c>
      <c r="J2426" s="1" t="str">
        <f t="shared" si="336"/>
        <v>Закрито</v>
      </c>
      <c r="K2426" s="5">
        <v>45618</v>
      </c>
      <c r="L2426" s="1" t="s">
        <v>20</v>
      </c>
      <c r="M2426" s="1" t="s">
        <v>22</v>
      </c>
      <c r="N2426" s="5">
        <v>45618</v>
      </c>
    </row>
    <row r="2427" spans="1:14" x14ac:dyDescent="0.3">
      <c r="A2427" s="1" t="str">
        <f>"15_349-11/2024/Б"</f>
        <v>15_349-11/2024/Б</v>
      </c>
      <c r="B2427" s="6">
        <v>45618</v>
      </c>
      <c r="C2427" s="1" t="str">
        <f>"00064"</f>
        <v>00064</v>
      </c>
      <c r="D2427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427" s="1" t="s">
        <v>20</v>
      </c>
      <c r="F2427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427" s="1" t="str">
        <f t="shared" si="337"/>
        <v>Фізична особа</v>
      </c>
      <c r="H2427" s="1" t="s">
        <v>20</v>
      </c>
      <c r="I2427" s="1" t="s">
        <v>20</v>
      </c>
      <c r="J2427" s="1" t="str">
        <f t="shared" si="336"/>
        <v>Закрито</v>
      </c>
      <c r="K2427" s="5">
        <v>45618</v>
      </c>
      <c r="L2427" s="1" t="s">
        <v>20</v>
      </c>
      <c r="M2427" s="1" t="s">
        <v>22</v>
      </c>
      <c r="N2427" s="5">
        <v>45618</v>
      </c>
    </row>
    <row r="2428" spans="1:14" x14ac:dyDescent="0.3">
      <c r="A2428" s="1" t="str">
        <f>"12_906-11/2024/Н"</f>
        <v>12_906-11/2024/Н</v>
      </c>
      <c r="B2428" s="6">
        <v>45618</v>
      </c>
      <c r="C2428" s="1" t="str">
        <f>"00038"</f>
        <v>00038</v>
      </c>
      <c r="D242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428" s="1" t="s">
        <v>20</v>
      </c>
      <c r="F242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28" s="1" t="str">
        <f t="shared" si="337"/>
        <v>Фізична особа</v>
      </c>
      <c r="H2428" s="1" t="s">
        <v>20</v>
      </c>
      <c r="I2428" s="1" t="s">
        <v>20</v>
      </c>
      <c r="J2428" s="1" t="str">
        <f t="shared" si="336"/>
        <v>Закрито</v>
      </c>
      <c r="K2428" s="5">
        <v>45618</v>
      </c>
      <c r="L2428" s="1" t="s">
        <v>20</v>
      </c>
      <c r="M2428" s="1" t="s">
        <v>22</v>
      </c>
      <c r="N2428" s="5">
        <v>45618</v>
      </c>
    </row>
    <row r="2429" spans="1:14" x14ac:dyDescent="0.3">
      <c r="A2429" s="1" t="str">
        <f>"12_907-11/2024/Н"</f>
        <v>12_907-11/2024/Н</v>
      </c>
      <c r="B2429" s="6">
        <v>45618</v>
      </c>
      <c r="C2429" s="1" t="str">
        <f>"00155"</f>
        <v>00155</v>
      </c>
      <c r="D2429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429" s="1" t="str">
        <f>"03193413"</f>
        <v>03193413</v>
      </c>
      <c r="F242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29" s="1" t="str">
        <f t="shared" si="337"/>
        <v>Фізична особа</v>
      </c>
      <c r="H2429" s="1" t="s">
        <v>20</v>
      </c>
      <c r="I2429" s="1" t="s">
        <v>20</v>
      </c>
      <c r="J2429" s="1" t="str">
        <f>"На обробці в СНАП"</f>
        <v>На обробці в СНАП</v>
      </c>
      <c r="K2429" s="1" t="s">
        <v>20</v>
      </c>
      <c r="L2429" s="1" t="s">
        <v>20</v>
      </c>
      <c r="M2429" s="1" t="s">
        <v>22</v>
      </c>
      <c r="N2429" s="1" t="s">
        <v>20</v>
      </c>
    </row>
    <row r="2430" spans="1:14" x14ac:dyDescent="0.3">
      <c r="A2430" s="1" t="str">
        <f>"15_350-11/2024/Б"</f>
        <v>15_350-11/2024/Б</v>
      </c>
      <c r="B2430" s="6">
        <v>45618</v>
      </c>
      <c r="C2430" s="1" t="str">
        <f>"00038"</f>
        <v>00038</v>
      </c>
      <c r="D243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430" s="1" t="s">
        <v>20</v>
      </c>
      <c r="F24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30" s="1" t="str">
        <f t="shared" si="337"/>
        <v>Фізична особа</v>
      </c>
      <c r="H2430" s="1" t="s">
        <v>20</v>
      </c>
      <c r="I2430" s="1" t="s">
        <v>20</v>
      </c>
      <c r="J2430" s="1" t="str">
        <f>"Закрито"</f>
        <v>Закрито</v>
      </c>
      <c r="K2430" s="5">
        <v>45618</v>
      </c>
      <c r="L2430" s="1" t="s">
        <v>20</v>
      </c>
      <c r="M2430" s="1" t="s">
        <v>22</v>
      </c>
      <c r="N2430" s="5">
        <v>45618</v>
      </c>
    </row>
    <row r="2431" spans="1:14" x14ac:dyDescent="0.3">
      <c r="A2431" s="1" t="str">
        <f>"18_648-11/2024/Г"</f>
        <v>18_648-11/2024/Г</v>
      </c>
      <c r="B2431" s="6">
        <v>45618</v>
      </c>
      <c r="C2431" s="1" t="str">
        <f>"00038"</f>
        <v>00038</v>
      </c>
      <c r="D243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431" s="1" t="s">
        <v>20</v>
      </c>
      <c r="F24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31" s="1" t="str">
        <f t="shared" si="337"/>
        <v>Фізична особа</v>
      </c>
      <c r="H2431" s="1" t="s">
        <v>20</v>
      </c>
      <c r="I2431" s="1" t="s">
        <v>20</v>
      </c>
      <c r="J2431" s="1" t="str">
        <f>"Закрито"</f>
        <v>Закрито</v>
      </c>
      <c r="K2431" s="5">
        <v>45618</v>
      </c>
      <c r="L2431" s="1" t="s">
        <v>20</v>
      </c>
      <c r="M2431" s="1" t="s">
        <v>22</v>
      </c>
      <c r="N2431" s="5">
        <v>45618</v>
      </c>
    </row>
    <row r="2432" spans="1:14" x14ac:dyDescent="0.3">
      <c r="A2432" s="1" t="str">
        <f>"18_649-11/2024/Г"</f>
        <v>18_649-11/2024/Г</v>
      </c>
      <c r="B2432" s="6">
        <v>45618</v>
      </c>
      <c r="C2432" s="1" t="str">
        <f>"01296"</f>
        <v>01296</v>
      </c>
      <c r="D2432" s="2" t="str">
        <f>"Видача довідки про проживання без реєстрації"</f>
        <v>Видача довідки про проживання без реєстрації</v>
      </c>
      <c r="E2432" s="1" t="s">
        <v>20</v>
      </c>
      <c r="F24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32" s="1" t="str">
        <f t="shared" si="337"/>
        <v>Фізична особа</v>
      </c>
      <c r="H2432" s="1" t="s">
        <v>20</v>
      </c>
      <c r="I2432" s="1" t="s">
        <v>20</v>
      </c>
      <c r="J2432" s="1" t="str">
        <f>"Закрито"</f>
        <v>Закрито</v>
      </c>
      <c r="K2432" s="5">
        <v>45618</v>
      </c>
      <c r="L2432" s="1" t="s">
        <v>20</v>
      </c>
      <c r="M2432" s="1" t="s">
        <v>22</v>
      </c>
      <c r="N2432" s="5">
        <v>45618</v>
      </c>
    </row>
    <row r="2433" spans="1:14" x14ac:dyDescent="0.3">
      <c r="A2433" s="1" t="str">
        <f>"15_351-11/2024/Б"</f>
        <v>15_351-11/2024/Б</v>
      </c>
      <c r="B2433" s="6">
        <v>45618</v>
      </c>
      <c r="C2433" s="1" t="str">
        <f>"00155"</f>
        <v>00155</v>
      </c>
      <c r="D2433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433" s="1" t="str">
        <f>"03193413"</f>
        <v>03193413</v>
      </c>
      <c r="F243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33" s="1" t="str">
        <f t="shared" si="337"/>
        <v>Фізична особа</v>
      </c>
      <c r="H2433" s="1" t="s">
        <v>20</v>
      </c>
      <c r="I2433" s="1" t="s">
        <v>20</v>
      </c>
      <c r="J2433" s="1" t="str">
        <f>"На обробці в СНАП"</f>
        <v>На обробці в СНАП</v>
      </c>
      <c r="K2433" s="1" t="s">
        <v>20</v>
      </c>
      <c r="L2433" s="1" t="s">
        <v>20</v>
      </c>
      <c r="M2433" s="1" t="s">
        <v>22</v>
      </c>
      <c r="N2433" s="1" t="s">
        <v>20</v>
      </c>
    </row>
    <row r="2434" spans="1:14" x14ac:dyDescent="0.3">
      <c r="A2434" s="1" t="str">
        <f>"19_531-11/2024/К"</f>
        <v>19_531-11/2024/К</v>
      </c>
      <c r="B2434" s="6">
        <v>45618</v>
      </c>
      <c r="C2434" s="1" t="str">
        <f>"00038"</f>
        <v>00038</v>
      </c>
      <c r="D243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434" s="1" t="s">
        <v>20</v>
      </c>
      <c r="F24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34" s="1" t="str">
        <f t="shared" si="337"/>
        <v>Фізична особа</v>
      </c>
      <c r="H2434" s="1" t="s">
        <v>20</v>
      </c>
      <c r="I2434" s="1" t="s">
        <v>20</v>
      </c>
      <c r="J2434" s="1" t="str">
        <f>"Закрито"</f>
        <v>Закрито</v>
      </c>
      <c r="K2434" s="5">
        <v>45618</v>
      </c>
      <c r="L2434" s="1" t="s">
        <v>20</v>
      </c>
      <c r="M2434" s="1" t="s">
        <v>22</v>
      </c>
      <c r="N2434" s="5">
        <v>45618</v>
      </c>
    </row>
    <row r="2435" spans="1:14" x14ac:dyDescent="0.3">
      <c r="A2435" s="1" t="str">
        <f>"18_650-11/2024/Ч"</f>
        <v>18_650-11/2024/Ч</v>
      </c>
      <c r="B2435" s="6">
        <v>45618</v>
      </c>
      <c r="C2435" s="1" t="str">
        <f>"00103"</f>
        <v>00103</v>
      </c>
      <c r="D2435" s="2" t="s">
        <v>1</v>
      </c>
      <c r="E2435" s="1" t="str">
        <f>"03193413"</f>
        <v>03193413</v>
      </c>
      <c r="F243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35" s="1" t="str">
        <f t="shared" si="337"/>
        <v>Фізична особа</v>
      </c>
      <c r="H2435" s="1" t="s">
        <v>20</v>
      </c>
      <c r="I2435" s="1" t="s">
        <v>20</v>
      </c>
      <c r="J2435" s="1" t="str">
        <f>"На обробці в СНАП"</f>
        <v>На обробці в СНАП</v>
      </c>
      <c r="K2435" s="1" t="s">
        <v>20</v>
      </c>
      <c r="L2435" s="1" t="s">
        <v>20</v>
      </c>
      <c r="M2435" s="1" t="s">
        <v>22</v>
      </c>
      <c r="N2435" s="1" t="s">
        <v>20</v>
      </c>
    </row>
    <row r="2436" spans="1:14" x14ac:dyDescent="0.3">
      <c r="A2436" s="1" t="str">
        <f>"14_1024-11/2024/К"</f>
        <v>14_1024-11/2024/К</v>
      </c>
      <c r="B2436" s="6">
        <v>45618</v>
      </c>
      <c r="C2436" s="1" t="str">
        <f>"00155"</f>
        <v>00155</v>
      </c>
      <c r="D2436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436" s="1" t="str">
        <f>"03193413"</f>
        <v>03193413</v>
      </c>
      <c r="F243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36" s="1" t="str">
        <f t="shared" si="337"/>
        <v>Фізична особа</v>
      </c>
      <c r="H2436" s="1" t="s">
        <v>20</v>
      </c>
      <c r="I2436" s="1" t="s">
        <v>20</v>
      </c>
      <c r="J2436" s="1" t="str">
        <f>"На обробці в СНАП"</f>
        <v>На обробці в СНАП</v>
      </c>
      <c r="K2436" s="1" t="s">
        <v>20</v>
      </c>
      <c r="L2436" s="1" t="s">
        <v>20</v>
      </c>
      <c r="M2436" s="1" t="s">
        <v>22</v>
      </c>
      <c r="N2436" s="1" t="s">
        <v>20</v>
      </c>
    </row>
    <row r="2437" spans="1:14" x14ac:dyDescent="0.3">
      <c r="A2437" s="1" t="str">
        <f>"9_1699/04054323-11/2024/Я"</f>
        <v>9_1699/04054323-11/2024/Я</v>
      </c>
      <c r="B2437" s="6">
        <v>45618</v>
      </c>
      <c r="C2437" s="1" t="str">
        <f>"01"</f>
        <v>01</v>
      </c>
      <c r="D2437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2437" s="1" t="str">
        <f>"04054323"</f>
        <v>04054323</v>
      </c>
      <c r="F2437" s="1" t="str">
        <f>"Рогатинська міська рада"</f>
        <v>Рогатинська міська рада</v>
      </c>
      <c r="G2437" s="1" t="str">
        <f t="shared" si="337"/>
        <v>Фізична особа</v>
      </c>
      <c r="H2437" s="1" t="s">
        <v>20</v>
      </c>
      <c r="I2437" s="1" t="s">
        <v>20</v>
      </c>
      <c r="J2437" s="1" t="str">
        <f>"На обробці в СНАП"</f>
        <v>На обробці в СНАП</v>
      </c>
      <c r="K2437" s="1" t="s">
        <v>20</v>
      </c>
      <c r="L2437" s="1" t="s">
        <v>20</v>
      </c>
      <c r="M2437" s="1" t="s">
        <v>22</v>
      </c>
      <c r="N2437" s="1" t="s">
        <v>20</v>
      </c>
    </row>
    <row r="2438" spans="1:14" x14ac:dyDescent="0.3">
      <c r="A2438" s="1" t="str">
        <f>"18_651-11/2024/Ч"</f>
        <v>18_651-11/2024/Ч</v>
      </c>
      <c r="B2438" s="6">
        <v>45618</v>
      </c>
      <c r="C2438" s="1" t="str">
        <f>"00064"</f>
        <v>00064</v>
      </c>
      <c r="D2438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438" s="1" t="s">
        <v>20</v>
      </c>
      <c r="F2438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438" s="1" t="str">
        <f t="shared" si="337"/>
        <v>Фізична особа</v>
      </c>
      <c r="H2438" s="1" t="s">
        <v>20</v>
      </c>
      <c r="I2438" s="1" t="s">
        <v>20</v>
      </c>
      <c r="J2438" s="1" t="str">
        <f t="shared" ref="J2438:J2444" si="338">"Закрито"</f>
        <v>Закрито</v>
      </c>
      <c r="K2438" s="5">
        <v>45618</v>
      </c>
      <c r="L2438" s="1" t="s">
        <v>20</v>
      </c>
      <c r="M2438" s="1" t="s">
        <v>22</v>
      </c>
      <c r="N2438" s="5">
        <v>45618</v>
      </c>
    </row>
    <row r="2439" spans="1:14" x14ac:dyDescent="0.3">
      <c r="A2439" s="1" t="str">
        <f>"18_652-11/2024/Ч"</f>
        <v>18_652-11/2024/Ч</v>
      </c>
      <c r="B2439" s="6">
        <v>45618</v>
      </c>
      <c r="C2439" s="1" t="str">
        <f>"00038"</f>
        <v>00038</v>
      </c>
      <c r="D243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439" s="1" t="s">
        <v>20</v>
      </c>
      <c r="F2439" s="1" t="str">
        <f t="shared" ref="F2439:F2444" si="339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39" s="1" t="str">
        <f t="shared" si="337"/>
        <v>Фізична особа</v>
      </c>
      <c r="H2439" s="1" t="s">
        <v>20</v>
      </c>
      <c r="I2439" s="1" t="s">
        <v>20</v>
      </c>
      <c r="J2439" s="1" t="str">
        <f t="shared" si="338"/>
        <v>Закрито</v>
      </c>
      <c r="K2439" s="5">
        <v>45618</v>
      </c>
      <c r="L2439" s="1" t="s">
        <v>20</v>
      </c>
      <c r="M2439" s="1" t="s">
        <v>22</v>
      </c>
      <c r="N2439" s="5">
        <v>45618</v>
      </c>
    </row>
    <row r="2440" spans="1:14" x14ac:dyDescent="0.3">
      <c r="A2440" s="1" t="str">
        <f>"14_1025-11/2024/К"</f>
        <v>14_1025-11/2024/К</v>
      </c>
      <c r="B2440" s="6">
        <v>45618</v>
      </c>
      <c r="C2440" s="1" t="str">
        <f>"33"</f>
        <v>33</v>
      </c>
      <c r="D2440" s="2" t="str">
        <f>"33 Довідки різного характеру"</f>
        <v>33 Довідки різного характеру</v>
      </c>
      <c r="E2440" s="1" t="s">
        <v>20</v>
      </c>
      <c r="F2440" s="1" t="str">
        <f t="shared" si="339"/>
        <v>Центр надання адміністративних послуг Рогатинської міської ради</v>
      </c>
      <c r="G2440" s="1" t="str">
        <f t="shared" si="337"/>
        <v>Фізична особа</v>
      </c>
      <c r="H2440" s="1" t="s">
        <v>20</v>
      </c>
      <c r="I2440" s="1" t="s">
        <v>20</v>
      </c>
      <c r="J2440" s="1" t="str">
        <f t="shared" si="338"/>
        <v>Закрито</v>
      </c>
      <c r="K2440" s="5">
        <v>45618</v>
      </c>
      <c r="L2440" s="1" t="s">
        <v>20</v>
      </c>
      <c r="M2440" s="1" t="s">
        <v>22</v>
      </c>
      <c r="N2440" s="5">
        <v>45618</v>
      </c>
    </row>
    <row r="2441" spans="1:14" x14ac:dyDescent="0.3">
      <c r="A2441" s="1" t="str">
        <f>"31_504-11/2024/Г"</f>
        <v>31_504-11/2024/Г</v>
      </c>
      <c r="B2441" s="6">
        <v>45618</v>
      </c>
      <c r="C2441" s="1" t="str">
        <f>"33"</f>
        <v>33</v>
      </c>
      <c r="D2441" s="2" t="str">
        <f>"33 Довідки різного характеру"</f>
        <v>33 Довідки різного характеру</v>
      </c>
      <c r="E2441" s="1" t="s">
        <v>20</v>
      </c>
      <c r="F2441" s="1" t="str">
        <f t="shared" si="339"/>
        <v>Центр надання адміністративних послуг Рогатинської міської ради</v>
      </c>
      <c r="G2441" s="1" t="str">
        <f t="shared" si="337"/>
        <v>Фізична особа</v>
      </c>
      <c r="H2441" s="1" t="s">
        <v>20</v>
      </c>
      <c r="I2441" s="1" t="s">
        <v>20</v>
      </c>
      <c r="J2441" s="1" t="str">
        <f t="shared" si="338"/>
        <v>Закрито</v>
      </c>
      <c r="K2441" s="5">
        <v>45618</v>
      </c>
      <c r="L2441" s="1" t="s">
        <v>20</v>
      </c>
      <c r="M2441" s="1" t="s">
        <v>22</v>
      </c>
      <c r="N2441" s="5">
        <v>45618</v>
      </c>
    </row>
    <row r="2442" spans="1:14" x14ac:dyDescent="0.3">
      <c r="A2442" s="1" t="str">
        <f>"31_505-11/2024/Ш"</f>
        <v>31_505-11/2024/Ш</v>
      </c>
      <c r="B2442" s="6">
        <v>45618</v>
      </c>
      <c r="C2442" s="1" t="str">
        <f>"01929"</f>
        <v>01929</v>
      </c>
      <c r="D2442" s="2" t="str">
        <f>"Видача довідки про народжених дітей громадянкою та виховання їх до певного віку"</f>
        <v>Видача довідки про народжених дітей громадянкою та виховання їх до певного віку</v>
      </c>
      <c r="E2442" s="1" t="s">
        <v>20</v>
      </c>
      <c r="F2442" s="1" t="str">
        <f t="shared" si="339"/>
        <v>Центр надання адміністративних послуг Рогатинської міської ради</v>
      </c>
      <c r="G2442" s="1" t="str">
        <f t="shared" si="337"/>
        <v>Фізична особа</v>
      </c>
      <c r="H2442" s="1" t="s">
        <v>20</v>
      </c>
      <c r="I2442" s="1" t="s">
        <v>20</v>
      </c>
      <c r="J2442" s="1" t="str">
        <f t="shared" si="338"/>
        <v>Закрито</v>
      </c>
      <c r="K2442" s="5">
        <v>45618</v>
      </c>
      <c r="L2442" s="1" t="s">
        <v>20</v>
      </c>
      <c r="M2442" s="1" t="s">
        <v>22</v>
      </c>
      <c r="N2442" s="5">
        <v>45618</v>
      </c>
    </row>
    <row r="2443" spans="1:14" x14ac:dyDescent="0.3">
      <c r="A2443" s="1" t="str">
        <f>"31_506-11/2024/Г"</f>
        <v>31_506-11/2024/Г</v>
      </c>
      <c r="B2443" s="6">
        <v>45618</v>
      </c>
      <c r="C2443" s="1" t="str">
        <f>"00033"</f>
        <v>00033</v>
      </c>
      <c r="D2443" s="2" t="str">
        <f>"Державна реєстрація смерті"</f>
        <v>Державна реєстрація смерті</v>
      </c>
      <c r="E2443" s="1" t="s">
        <v>20</v>
      </c>
      <c r="F2443" s="1" t="str">
        <f t="shared" si="339"/>
        <v>Центр надання адміністративних послуг Рогатинської міської ради</v>
      </c>
      <c r="G2443" s="1" t="str">
        <f t="shared" si="337"/>
        <v>Фізична особа</v>
      </c>
      <c r="H2443" s="1" t="s">
        <v>20</v>
      </c>
      <c r="I2443" s="1" t="s">
        <v>20</v>
      </c>
      <c r="J2443" s="1" t="str">
        <f t="shared" si="338"/>
        <v>Закрито</v>
      </c>
      <c r="K2443" s="5">
        <v>45618</v>
      </c>
      <c r="L2443" s="1" t="s">
        <v>20</v>
      </c>
      <c r="M2443" s="1" t="s">
        <v>22</v>
      </c>
      <c r="N2443" s="5">
        <v>45618</v>
      </c>
    </row>
    <row r="2444" spans="1:14" x14ac:dyDescent="0.3">
      <c r="A2444" s="1" t="str">
        <f>"1_6007/2129-11/2024/Д"</f>
        <v>1_6007/2129-11/2024/Д</v>
      </c>
      <c r="B2444" s="6">
        <v>45618</v>
      </c>
      <c r="C2444" s="1" t="str">
        <f>"00038"</f>
        <v>00038</v>
      </c>
      <c r="D244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444" s="1" t="s">
        <v>20</v>
      </c>
      <c r="F2444" s="1" t="str">
        <f t="shared" si="339"/>
        <v>Центр надання адміністративних послуг Рогатинської міської ради</v>
      </c>
      <c r="G2444" s="1" t="str">
        <f t="shared" si="337"/>
        <v>Фізична особа</v>
      </c>
      <c r="H2444" s="1" t="s">
        <v>20</v>
      </c>
      <c r="I2444" s="1" t="s">
        <v>20</v>
      </c>
      <c r="J2444" s="1" t="str">
        <f t="shared" si="338"/>
        <v>Закрито</v>
      </c>
      <c r="K2444" s="6">
        <v>45618</v>
      </c>
      <c r="L2444" s="1" t="s">
        <v>20</v>
      </c>
      <c r="M2444" s="1" t="s">
        <v>22</v>
      </c>
      <c r="N2444" s="5">
        <v>45618</v>
      </c>
    </row>
    <row r="2445" spans="1:14" x14ac:dyDescent="0.3">
      <c r="A2445" s="1" t="str">
        <f>"9_1700/04054323-11/2024/М"</f>
        <v>9_1700/04054323-11/2024/М</v>
      </c>
      <c r="B2445" s="6">
        <v>45618</v>
      </c>
      <c r="C2445" s="1" t="str">
        <f>"01-1"</f>
        <v>01-1</v>
      </c>
      <c r="D2445" s="2" t="s">
        <v>0</v>
      </c>
      <c r="E2445" s="1" t="str">
        <f>"04054323"</f>
        <v>04054323</v>
      </c>
      <c r="F2445" s="1" t="str">
        <f>"Рогатинська міська рада"</f>
        <v>Рогатинська міська рада</v>
      </c>
      <c r="G2445" s="1" t="str">
        <f t="shared" si="337"/>
        <v>Фізична особа</v>
      </c>
      <c r="H2445" s="1" t="s">
        <v>20</v>
      </c>
      <c r="I2445" s="1" t="s">
        <v>20</v>
      </c>
      <c r="J2445" s="1" t="str">
        <f>"На обробці в СНАП"</f>
        <v>На обробці в СНАП</v>
      </c>
      <c r="K2445" s="1" t="s">
        <v>20</v>
      </c>
      <c r="L2445" s="1" t="s">
        <v>20</v>
      </c>
      <c r="M2445" s="1" t="s">
        <v>22</v>
      </c>
      <c r="N2445" s="1" t="s">
        <v>20</v>
      </c>
    </row>
    <row r="2446" spans="1:14" x14ac:dyDescent="0.3">
      <c r="A2446" s="1" t="str">
        <f>"9_1701/04054323-11/2024/Р"</f>
        <v>9_1701/04054323-11/2024/Р</v>
      </c>
      <c r="B2446" s="6">
        <v>45618</v>
      </c>
      <c r="C2446" s="1" t="str">
        <f>"01"</f>
        <v>01</v>
      </c>
      <c r="D2446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2446" s="1" t="str">
        <f>"04054323"</f>
        <v>04054323</v>
      </c>
      <c r="F2446" s="1" t="str">
        <f>"Рогатинська міська рада"</f>
        <v>Рогатинська міська рада</v>
      </c>
      <c r="G2446" s="1" t="str">
        <f t="shared" si="337"/>
        <v>Фізична особа</v>
      </c>
      <c r="H2446" s="1" t="s">
        <v>20</v>
      </c>
      <c r="I2446" s="1" t="s">
        <v>20</v>
      </c>
      <c r="J2446" s="1" t="str">
        <f>"На обробці в СНАП"</f>
        <v>На обробці в СНАП</v>
      </c>
      <c r="K2446" s="1" t="s">
        <v>20</v>
      </c>
      <c r="L2446" s="1" t="s">
        <v>20</v>
      </c>
      <c r="M2446" s="1" t="s">
        <v>22</v>
      </c>
      <c r="N2446" s="1" t="s">
        <v>20</v>
      </c>
    </row>
    <row r="2447" spans="1:14" x14ac:dyDescent="0.3">
      <c r="A2447" s="1" t="str">
        <f>"9_1702/04054323-11/2024/Ж"</f>
        <v>9_1702/04054323-11/2024/Ж</v>
      </c>
      <c r="B2447" s="6">
        <v>45618</v>
      </c>
      <c r="C2447" s="1" t="str">
        <f>"01-1"</f>
        <v>01-1</v>
      </c>
      <c r="D2447" s="2" t="s">
        <v>0</v>
      </c>
      <c r="E2447" s="1" t="str">
        <f>"04054323"</f>
        <v>04054323</v>
      </c>
      <c r="F2447" s="1" t="str">
        <f>"Рогатинська міська рада"</f>
        <v>Рогатинська міська рада</v>
      </c>
      <c r="G2447" s="1" t="str">
        <f t="shared" si="337"/>
        <v>Фізична особа</v>
      </c>
      <c r="H2447" s="1" t="s">
        <v>20</v>
      </c>
      <c r="I2447" s="1" t="s">
        <v>20</v>
      </c>
      <c r="J2447" s="1" t="str">
        <f>"На обробці в СНАП"</f>
        <v>На обробці в СНАП</v>
      </c>
      <c r="K2447" s="1" t="s">
        <v>20</v>
      </c>
      <c r="L2447" s="1" t="s">
        <v>20</v>
      </c>
      <c r="M2447" s="1" t="s">
        <v>22</v>
      </c>
      <c r="N2447" s="1" t="s">
        <v>20</v>
      </c>
    </row>
    <row r="2448" spans="1:14" x14ac:dyDescent="0.3">
      <c r="A2448" s="1" t="str">
        <f>"33_422-11/2024/Г"</f>
        <v>33_422-11/2024/Г</v>
      </c>
      <c r="B2448" s="6">
        <v>45618</v>
      </c>
      <c r="C2448" s="1" t="str">
        <f>"33"</f>
        <v>33</v>
      </c>
      <c r="D2448" s="2" t="str">
        <f>"33 Довідки різного характеру"</f>
        <v>33 Довідки різного характеру</v>
      </c>
      <c r="E2448" s="1" t="s">
        <v>20</v>
      </c>
      <c r="F244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48" s="1" t="str">
        <f t="shared" si="337"/>
        <v>Фізична особа</v>
      </c>
      <c r="H2448" s="1" t="s">
        <v>20</v>
      </c>
      <c r="I2448" s="1" t="s">
        <v>20</v>
      </c>
      <c r="J2448" s="1" t="str">
        <f>"Закрито"</f>
        <v>Закрито</v>
      </c>
      <c r="K2448" s="5">
        <v>45618</v>
      </c>
      <c r="L2448" s="1" t="s">
        <v>20</v>
      </c>
      <c r="M2448" s="1" t="s">
        <v>22</v>
      </c>
      <c r="N2448" s="5">
        <v>45618</v>
      </c>
    </row>
    <row r="2449" spans="1:14" x14ac:dyDescent="0.3">
      <c r="A2449" s="1" t="str">
        <f>"18_653-11/2024/Ч"</f>
        <v>18_653-11/2024/Ч</v>
      </c>
      <c r="B2449" s="6">
        <v>45618</v>
      </c>
      <c r="C2449" s="1" t="str">
        <f>"00038"</f>
        <v>00038</v>
      </c>
      <c r="D244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449" s="1" t="s">
        <v>20</v>
      </c>
      <c r="F244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49" s="1" t="str">
        <f t="shared" si="337"/>
        <v>Фізична особа</v>
      </c>
      <c r="H2449" s="1" t="s">
        <v>20</v>
      </c>
      <c r="I2449" s="1" t="s">
        <v>20</v>
      </c>
      <c r="J2449" s="1" t="str">
        <f>"Закрито"</f>
        <v>Закрито</v>
      </c>
      <c r="K2449" s="5">
        <v>45618</v>
      </c>
      <c r="L2449" s="1" t="s">
        <v>20</v>
      </c>
      <c r="M2449" s="1" t="s">
        <v>22</v>
      </c>
      <c r="N2449" s="5">
        <v>45618</v>
      </c>
    </row>
    <row r="2450" spans="1:14" x14ac:dyDescent="0.3">
      <c r="A2450" s="1" t="str">
        <f>"18_654-11/2024/Ч"</f>
        <v>18_654-11/2024/Ч</v>
      </c>
      <c r="B2450" s="6">
        <v>45618</v>
      </c>
      <c r="C2450" s="1" t="str">
        <f>"00038"</f>
        <v>00038</v>
      </c>
      <c r="D245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450" s="1" t="s">
        <v>20</v>
      </c>
      <c r="F245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50" s="1" t="str">
        <f t="shared" si="337"/>
        <v>Фізична особа</v>
      </c>
      <c r="H2450" s="1" t="s">
        <v>20</v>
      </c>
      <c r="I2450" s="1" t="s">
        <v>20</v>
      </c>
      <c r="J2450" s="1" t="str">
        <f>"Закрито"</f>
        <v>Закрито</v>
      </c>
      <c r="K2450" s="5">
        <v>45618</v>
      </c>
      <c r="L2450" s="1" t="s">
        <v>20</v>
      </c>
      <c r="M2450" s="1" t="s">
        <v>22</v>
      </c>
      <c r="N2450" s="5">
        <v>45618</v>
      </c>
    </row>
    <row r="2451" spans="1:14" x14ac:dyDescent="0.3">
      <c r="A2451" s="1" t="str">
        <f>"9_1703/04054323-11/2024/М"</f>
        <v>9_1703/04054323-11/2024/М</v>
      </c>
      <c r="B2451" s="6">
        <v>45618</v>
      </c>
      <c r="C2451" s="1" t="str">
        <f>"01"</f>
        <v>01</v>
      </c>
      <c r="D2451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2451" s="1" t="str">
        <f>"04054323"</f>
        <v>04054323</v>
      </c>
      <c r="F2451" s="1" t="str">
        <f>"Рогатинська міська рада"</f>
        <v>Рогатинська міська рада</v>
      </c>
      <c r="G2451" s="1" t="str">
        <f t="shared" si="337"/>
        <v>Фізична особа</v>
      </c>
      <c r="H2451" s="1" t="s">
        <v>20</v>
      </c>
      <c r="I2451" s="1" t="s">
        <v>20</v>
      </c>
      <c r="J2451" s="1" t="str">
        <f>"На обробці в СНАП"</f>
        <v>На обробці в СНАП</v>
      </c>
      <c r="K2451" s="1" t="s">
        <v>20</v>
      </c>
      <c r="L2451" s="1" t="s">
        <v>20</v>
      </c>
      <c r="M2451" s="1" t="s">
        <v>22</v>
      </c>
      <c r="N2451" s="1" t="s">
        <v>20</v>
      </c>
    </row>
    <row r="2452" spans="1:14" x14ac:dyDescent="0.3">
      <c r="A2452" s="1" t="str">
        <f>"18_655-11/2024/К"</f>
        <v>18_655-11/2024/К</v>
      </c>
      <c r="B2452" s="6">
        <v>45618</v>
      </c>
      <c r="C2452" s="1" t="str">
        <f>"00038"</f>
        <v>00038</v>
      </c>
      <c r="D245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452" s="1" t="s">
        <v>20</v>
      </c>
      <c r="F24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52" s="1" t="str">
        <f t="shared" si="337"/>
        <v>Фізична особа</v>
      </c>
      <c r="H2452" s="1" t="s">
        <v>20</v>
      </c>
      <c r="I2452" s="1" t="s">
        <v>20</v>
      </c>
      <c r="J2452" s="1" t="str">
        <f>"Закрито"</f>
        <v>Закрито</v>
      </c>
      <c r="K2452" s="5">
        <v>45618</v>
      </c>
      <c r="L2452" s="1" t="s">
        <v>20</v>
      </c>
      <c r="M2452" s="1" t="s">
        <v>22</v>
      </c>
      <c r="N2452" s="5">
        <v>45618</v>
      </c>
    </row>
    <row r="2453" spans="1:14" x14ac:dyDescent="0.3">
      <c r="A2453" s="1" t="str">
        <f>"18_656-11/2024/Х"</f>
        <v>18_656-11/2024/Х</v>
      </c>
      <c r="B2453" s="6">
        <v>45618</v>
      </c>
      <c r="C2453" s="1" t="str">
        <f>"00038"</f>
        <v>00038</v>
      </c>
      <c r="D245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453" s="1" t="s">
        <v>20</v>
      </c>
      <c r="F24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53" s="1" t="str">
        <f t="shared" si="337"/>
        <v>Фізична особа</v>
      </c>
      <c r="H2453" s="1" t="s">
        <v>20</v>
      </c>
      <c r="I2453" s="1" t="s">
        <v>20</v>
      </c>
      <c r="J2453" s="1" t="str">
        <f>"Закрито"</f>
        <v>Закрито</v>
      </c>
      <c r="K2453" s="5">
        <v>45618</v>
      </c>
      <c r="L2453" s="1" t="s">
        <v>20</v>
      </c>
      <c r="M2453" s="1" t="s">
        <v>22</v>
      </c>
      <c r="N2453" s="5">
        <v>45618</v>
      </c>
    </row>
    <row r="2454" spans="1:14" x14ac:dyDescent="0.3">
      <c r="A2454" s="1" t="str">
        <f>"18_657-11/2024/Г"</f>
        <v>18_657-11/2024/Г</v>
      </c>
      <c r="B2454" s="6">
        <v>45618</v>
      </c>
      <c r="C2454" s="1" t="str">
        <f>"01974"</f>
        <v>01974</v>
      </c>
      <c r="D2454" s="2" t="str">
        <f>"Призначення пільги на оплату житла, комунальних послуг"</f>
        <v>Призначення пільги на оплату житла, комунальних послуг</v>
      </c>
      <c r="E2454" s="1" t="str">
        <f>"03193413"</f>
        <v>03193413</v>
      </c>
      <c r="F245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54" s="1" t="str">
        <f t="shared" si="337"/>
        <v>Фізична особа</v>
      </c>
      <c r="H2454" s="1" t="s">
        <v>20</v>
      </c>
      <c r="I2454" s="1" t="s">
        <v>20</v>
      </c>
      <c r="J2454" s="1" t="str">
        <f>"На обробці в СНАП"</f>
        <v>На обробці в СНАП</v>
      </c>
      <c r="K2454" s="1" t="s">
        <v>20</v>
      </c>
      <c r="L2454" s="1" t="s">
        <v>20</v>
      </c>
      <c r="M2454" s="1" t="s">
        <v>22</v>
      </c>
      <c r="N2454" s="1" t="s">
        <v>20</v>
      </c>
    </row>
    <row r="2455" spans="1:14" x14ac:dyDescent="0.3">
      <c r="A2455" s="1" t="str">
        <f>"1_737-11/2024/С"</f>
        <v>1_737-11/2024/С</v>
      </c>
      <c r="B2455" s="6">
        <v>45618</v>
      </c>
      <c r="C2455" s="1" t="str">
        <f>"00038"</f>
        <v>00038</v>
      </c>
      <c r="D245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455" s="1" t="s">
        <v>20</v>
      </c>
      <c r="F245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55" s="1" t="str">
        <f t="shared" si="337"/>
        <v>Фізична особа</v>
      </c>
      <c r="H2455" s="1" t="s">
        <v>20</v>
      </c>
      <c r="I2455" s="1" t="s">
        <v>20</v>
      </c>
      <c r="J2455" s="1" t="str">
        <f>"Закрито"</f>
        <v>Закрито</v>
      </c>
      <c r="K2455" s="5">
        <v>45618</v>
      </c>
      <c r="L2455" s="1" t="s">
        <v>20</v>
      </c>
      <c r="M2455" s="1" t="s">
        <v>22</v>
      </c>
      <c r="N2455" s="5">
        <v>45618</v>
      </c>
    </row>
    <row r="2456" spans="1:14" x14ac:dyDescent="0.3">
      <c r="A2456" s="1" t="str">
        <f>"1_738-11/2024/С"</f>
        <v>1_738-11/2024/С</v>
      </c>
      <c r="B2456" s="6">
        <v>45618</v>
      </c>
      <c r="C2456" s="1" t="str">
        <f>"00038"</f>
        <v>00038</v>
      </c>
      <c r="D245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456" s="1" t="s">
        <v>20</v>
      </c>
      <c r="F245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56" s="1" t="str">
        <f t="shared" si="337"/>
        <v>Фізична особа</v>
      </c>
      <c r="H2456" s="1" t="s">
        <v>20</v>
      </c>
      <c r="I2456" s="1" t="s">
        <v>20</v>
      </c>
      <c r="J2456" s="1" t="str">
        <f>"Закрито"</f>
        <v>Закрито</v>
      </c>
      <c r="K2456" s="5">
        <v>45618</v>
      </c>
      <c r="L2456" s="1" t="s">
        <v>20</v>
      </c>
      <c r="M2456" s="1" t="s">
        <v>22</v>
      </c>
      <c r="N2456" s="5">
        <v>45618</v>
      </c>
    </row>
    <row r="2457" spans="1:14" x14ac:dyDescent="0.3">
      <c r="A2457" s="1" t="str">
        <f>"1_739-11/2024/Г"</f>
        <v>1_739-11/2024/Г</v>
      </c>
      <c r="B2457" s="6">
        <v>45618</v>
      </c>
      <c r="C2457" s="1" t="str">
        <f>"00038"</f>
        <v>00038</v>
      </c>
      <c r="D245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457" s="1" t="s">
        <v>20</v>
      </c>
      <c r="F24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57" s="1" t="str">
        <f t="shared" si="337"/>
        <v>Фізична особа</v>
      </c>
      <c r="H2457" s="1" t="s">
        <v>20</v>
      </c>
      <c r="I2457" s="1" t="s">
        <v>20</v>
      </c>
      <c r="J2457" s="1" t="str">
        <f>"Закрито"</f>
        <v>Закрито</v>
      </c>
      <c r="K2457" s="5">
        <v>45618</v>
      </c>
      <c r="L2457" s="1" t="s">
        <v>20</v>
      </c>
      <c r="M2457" s="1" t="s">
        <v>22</v>
      </c>
      <c r="N2457" s="5">
        <v>45618</v>
      </c>
    </row>
    <row r="2458" spans="1:14" x14ac:dyDescent="0.3">
      <c r="A2458" s="1" t="str">
        <f>"22_563-11/2024/Б"</f>
        <v>22_563-11/2024/Б</v>
      </c>
      <c r="B2458" s="6">
        <v>45618</v>
      </c>
      <c r="C2458" s="1" t="str">
        <f>"00155"</f>
        <v>00155</v>
      </c>
      <c r="D2458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458" s="1" t="str">
        <f>"03193413"</f>
        <v>03193413</v>
      </c>
      <c r="F245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58" s="1" t="str">
        <f t="shared" si="337"/>
        <v>Фізична особа</v>
      </c>
      <c r="H2458" s="1" t="s">
        <v>20</v>
      </c>
      <c r="I2458" s="1" t="s">
        <v>20</v>
      </c>
      <c r="J2458" s="1" t="str">
        <f>"На обробці в СНАП"</f>
        <v>На обробці в СНАП</v>
      </c>
      <c r="K2458" s="1" t="s">
        <v>20</v>
      </c>
      <c r="L2458" s="1" t="s">
        <v>20</v>
      </c>
      <c r="M2458" s="1" t="s">
        <v>22</v>
      </c>
      <c r="N2458" s="1" t="s">
        <v>20</v>
      </c>
    </row>
    <row r="2459" spans="1:14" x14ac:dyDescent="0.3">
      <c r="A2459" s="1" t="str">
        <f>"22_564-11/2024/А"</f>
        <v>22_564-11/2024/А</v>
      </c>
      <c r="B2459" s="6">
        <v>45618</v>
      </c>
      <c r="C2459" s="1" t="str">
        <f>"33"</f>
        <v>33</v>
      </c>
      <c r="D2459" s="2" t="str">
        <f>"33 Довідки різного характеру"</f>
        <v>33 Довідки різного характеру</v>
      </c>
      <c r="E2459" s="1" t="s">
        <v>20</v>
      </c>
      <c r="F2459" s="1" t="str">
        <f t="shared" ref="F2459:F2466" si="340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59" s="1" t="str">
        <f>"Юридична особа"</f>
        <v>Юридична особа</v>
      </c>
      <c r="H2459" s="1" t="str">
        <f>"Адвокат Падучак Іванна Іванівна"</f>
        <v>Адвокат Падучак Іванна Іванівна</v>
      </c>
      <c r="I2459" s="1" t="s">
        <v>20</v>
      </c>
      <c r="J2459" s="1" t="str">
        <f t="shared" ref="J2459:J2470" si="341">"Закрито"</f>
        <v>Закрито</v>
      </c>
      <c r="K2459" s="5">
        <v>45618</v>
      </c>
      <c r="L2459" s="1" t="s">
        <v>20</v>
      </c>
      <c r="M2459" s="1" t="s">
        <v>22</v>
      </c>
      <c r="N2459" s="5">
        <v>45618</v>
      </c>
    </row>
    <row r="2460" spans="1:14" x14ac:dyDescent="0.3">
      <c r="A2460" s="1" t="str">
        <f>"2_2036/2129-11/2024/К"</f>
        <v>2_2036/2129-11/2024/К</v>
      </c>
      <c r="B2460" s="6">
        <v>45621</v>
      </c>
      <c r="C2460" s="1" t="str">
        <f>"00047"</f>
        <v>00047</v>
      </c>
      <c r="D2460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2460" s="1" t="s">
        <v>20</v>
      </c>
      <c r="F2460" s="1" t="str">
        <f t="shared" si="340"/>
        <v>Центр надання адміністративних послуг Рогатинської міської ради</v>
      </c>
      <c r="G2460" s="1" t="str">
        <f>"Фізична особа"</f>
        <v>Фізична особа</v>
      </c>
      <c r="H2460" s="1" t="s">
        <v>20</v>
      </c>
      <c r="I2460" s="1" t="s">
        <v>20</v>
      </c>
      <c r="J2460" s="1" t="str">
        <f t="shared" si="341"/>
        <v>Закрито</v>
      </c>
      <c r="K2460" s="5">
        <v>45621</v>
      </c>
      <c r="L2460" s="1" t="s">
        <v>20</v>
      </c>
      <c r="M2460" s="1" t="s">
        <v>22</v>
      </c>
      <c r="N2460" s="5">
        <v>45621</v>
      </c>
    </row>
    <row r="2461" spans="1:14" x14ac:dyDescent="0.3">
      <c r="A2461" s="1" t="str">
        <f>"2_2037/2129-11/2024/К"</f>
        <v>2_2037/2129-11/2024/К</v>
      </c>
      <c r="B2461" s="6">
        <v>45621</v>
      </c>
      <c r="C2461" s="1" t="str">
        <f>"00047"</f>
        <v>00047</v>
      </c>
      <c r="D2461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2461" s="1" t="s">
        <v>20</v>
      </c>
      <c r="F2461" s="1" t="str">
        <f t="shared" si="340"/>
        <v>Центр надання адміністративних послуг Рогатинської міської ради</v>
      </c>
      <c r="G2461" s="1" t="str">
        <f>"Фізична особа"</f>
        <v>Фізична особа</v>
      </c>
      <c r="H2461" s="1" t="s">
        <v>20</v>
      </c>
      <c r="I2461" s="1" t="s">
        <v>20</v>
      </c>
      <c r="J2461" s="1" t="str">
        <f t="shared" si="341"/>
        <v>Закрито</v>
      </c>
      <c r="K2461" s="5">
        <v>45621</v>
      </c>
      <c r="L2461" s="1" t="s">
        <v>20</v>
      </c>
      <c r="M2461" s="1" t="s">
        <v>22</v>
      </c>
      <c r="N2461" s="5">
        <v>45621</v>
      </c>
    </row>
    <row r="2462" spans="1:14" x14ac:dyDescent="0.3">
      <c r="A2462" s="1" t="str">
        <f>"2_2038/2129-11/2024/Р"</f>
        <v>2_2038/2129-11/2024/Р</v>
      </c>
      <c r="B2462" s="6">
        <v>45621</v>
      </c>
      <c r="C2462" s="1" t="str">
        <f>"00047"</f>
        <v>00047</v>
      </c>
      <c r="D2462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2462" s="1" t="s">
        <v>20</v>
      </c>
      <c r="F2462" s="1" t="str">
        <f t="shared" si="340"/>
        <v>Центр надання адміністративних послуг Рогатинської міської ради</v>
      </c>
      <c r="G2462" s="1" t="str">
        <f>"Юридична особа"</f>
        <v>Юридична особа</v>
      </c>
      <c r="H2462" s="1" t="str">
        <f>"РОГАТИНСЬКА МІСЬКА РАДА"</f>
        <v>РОГАТИНСЬКА МІСЬКА РАДА</v>
      </c>
      <c r="I2462" s="1" t="str">
        <f>"04054323"</f>
        <v>04054323</v>
      </c>
      <c r="J2462" s="1" t="str">
        <f t="shared" si="341"/>
        <v>Закрито</v>
      </c>
      <c r="K2462" s="5">
        <v>45621</v>
      </c>
      <c r="L2462" s="1" t="s">
        <v>20</v>
      </c>
      <c r="M2462" s="1" t="s">
        <v>22</v>
      </c>
      <c r="N2462" s="5">
        <v>45621</v>
      </c>
    </row>
    <row r="2463" spans="1:14" x14ac:dyDescent="0.3">
      <c r="A2463" s="1" t="str">
        <f>"1_6008/2129-11/2024/в"</f>
        <v>1_6008/2129-11/2024/в</v>
      </c>
      <c r="B2463" s="6">
        <v>45621</v>
      </c>
      <c r="C2463" s="1" t="str">
        <f>"01297"</f>
        <v>01297</v>
      </c>
      <c r="D2463" s="2" t="str">
        <f>"Видача довідок-характеристик на громадян"</f>
        <v>Видача довідок-характеристик на громадян</v>
      </c>
      <c r="E2463" s="1" t="s">
        <v>20</v>
      </c>
      <c r="F2463" s="1" t="str">
        <f t="shared" si="340"/>
        <v>Центр надання адміністративних послуг Рогатинської міської ради</v>
      </c>
      <c r="G2463" s="1" t="str">
        <f>"Юридична особа"</f>
        <v>Юридична особа</v>
      </c>
      <c r="H2463" s="1" t="str">
        <f>"відділення поліції №4 (м.Рогатин) Івано-Франківського районного управління поліції Головного управління національної поліції в Івано-Франківській області"</f>
        <v>відділення поліції №4 (м.Рогатин) Івано-Франківського районного управління поліції Головного управління національної поліції в Івано-Франківській області</v>
      </c>
      <c r="I2463" s="1" t="s">
        <v>20</v>
      </c>
      <c r="J2463" s="1" t="str">
        <f t="shared" si="341"/>
        <v>Закрито</v>
      </c>
      <c r="K2463" s="5">
        <v>45621</v>
      </c>
      <c r="L2463" s="1" t="s">
        <v>20</v>
      </c>
      <c r="M2463" s="1" t="s">
        <v>22</v>
      </c>
      <c r="N2463" s="5">
        <v>45621</v>
      </c>
    </row>
    <row r="2464" spans="1:14" x14ac:dyDescent="0.3">
      <c r="A2464" s="1" t="str">
        <f>"1_6009/2129-11/2024/Н"</f>
        <v>1_6009/2129-11/2024/Н</v>
      </c>
      <c r="B2464" s="6">
        <v>45621</v>
      </c>
      <c r="C2464" s="1" t="str">
        <f>"00038"</f>
        <v>00038</v>
      </c>
      <c r="D246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464" s="1" t="s">
        <v>20</v>
      </c>
      <c r="F2464" s="1" t="str">
        <f t="shared" si="340"/>
        <v>Центр надання адміністративних послуг Рогатинської міської ради</v>
      </c>
      <c r="G2464" s="1" t="str">
        <f t="shared" ref="G2464:G2474" si="342">"Фізична особа"</f>
        <v>Фізична особа</v>
      </c>
      <c r="H2464" s="1" t="s">
        <v>20</v>
      </c>
      <c r="I2464" s="1" t="s">
        <v>20</v>
      </c>
      <c r="J2464" s="1" t="str">
        <f t="shared" si="341"/>
        <v>Закрито</v>
      </c>
      <c r="K2464" s="5">
        <v>45621</v>
      </c>
      <c r="L2464" s="1" t="s">
        <v>20</v>
      </c>
      <c r="M2464" s="1" t="s">
        <v>22</v>
      </c>
      <c r="N2464" s="5">
        <v>45622</v>
      </c>
    </row>
    <row r="2465" spans="1:14" x14ac:dyDescent="0.3">
      <c r="A2465" s="1" t="str">
        <f>"12_908-11/2024/О"</f>
        <v>12_908-11/2024/О</v>
      </c>
      <c r="B2465" s="6">
        <v>45621</v>
      </c>
      <c r="C2465" s="1" t="str">
        <f>"00037"</f>
        <v>00037</v>
      </c>
      <c r="D2465" s="2" t="str">
        <f>"Зняття з реєстрації місця проживання"</f>
        <v>Зняття з реєстрації місця проживання</v>
      </c>
      <c r="E2465" s="1" t="s">
        <v>20</v>
      </c>
      <c r="F2465" s="1" t="str">
        <f t="shared" si="340"/>
        <v>Центр надання адміністративних послуг Рогатинської міської ради</v>
      </c>
      <c r="G2465" s="1" t="str">
        <f t="shared" si="342"/>
        <v>Фізична особа</v>
      </c>
      <c r="H2465" s="1" t="s">
        <v>20</v>
      </c>
      <c r="I2465" s="1" t="s">
        <v>20</v>
      </c>
      <c r="J2465" s="1" t="str">
        <f t="shared" si="341"/>
        <v>Закрито</v>
      </c>
      <c r="K2465" s="5">
        <v>45621</v>
      </c>
      <c r="L2465" s="1" t="s">
        <v>20</v>
      </c>
      <c r="M2465" s="1" t="s">
        <v>22</v>
      </c>
      <c r="N2465" s="5">
        <v>45621</v>
      </c>
    </row>
    <row r="2466" spans="1:14" x14ac:dyDescent="0.3">
      <c r="A2466" s="1" t="str">
        <f>"6_380-11/2024/М"</f>
        <v>6_380-11/2024/М</v>
      </c>
      <c r="B2466" s="6">
        <v>45621</v>
      </c>
      <c r="C2466" s="1" t="str">
        <f>"00038"</f>
        <v>00038</v>
      </c>
      <c r="D246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466" s="1" t="s">
        <v>20</v>
      </c>
      <c r="F2466" s="1" t="str">
        <f t="shared" si="340"/>
        <v>Центр надання адміністративних послуг Рогатинської міської ради</v>
      </c>
      <c r="G2466" s="1" t="str">
        <f t="shared" si="342"/>
        <v>Фізична особа</v>
      </c>
      <c r="H2466" s="1" t="s">
        <v>20</v>
      </c>
      <c r="I2466" s="1" t="s">
        <v>20</v>
      </c>
      <c r="J2466" s="1" t="str">
        <f t="shared" si="341"/>
        <v>Закрито</v>
      </c>
      <c r="K2466" s="5">
        <v>45621</v>
      </c>
      <c r="L2466" s="1" t="s">
        <v>20</v>
      </c>
      <c r="M2466" s="1" t="s">
        <v>22</v>
      </c>
      <c r="N2466" s="5">
        <v>45621</v>
      </c>
    </row>
    <row r="2467" spans="1:14" x14ac:dyDescent="0.3">
      <c r="A2467" s="1" t="str">
        <f>"3_1420/4-11/2024/М"</f>
        <v>3_1420/4-11/2024/М</v>
      </c>
      <c r="B2467" s="6">
        <v>45621</v>
      </c>
      <c r="C2467" s="1" t="str">
        <f>"00060"</f>
        <v>00060</v>
      </c>
      <c r="D2467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467" s="1" t="s">
        <v>20</v>
      </c>
      <c r="F2467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467" s="1" t="str">
        <f t="shared" si="342"/>
        <v>Фізична особа</v>
      </c>
      <c r="H2467" s="1" t="s">
        <v>20</v>
      </c>
      <c r="I2467" s="1" t="s">
        <v>20</v>
      </c>
      <c r="J2467" s="1" t="str">
        <f t="shared" si="341"/>
        <v>Закрито</v>
      </c>
      <c r="K2467" s="5">
        <v>45636</v>
      </c>
      <c r="L2467" s="1" t="str">
        <f>"151.4"</f>
        <v>151.4</v>
      </c>
      <c r="M2467" s="1" t="s">
        <v>22</v>
      </c>
      <c r="N2467" s="5">
        <v>45636</v>
      </c>
    </row>
    <row r="2468" spans="1:14" x14ac:dyDescent="0.3">
      <c r="A2468" s="1" t="str">
        <f>"6_381-11/2024/М"</f>
        <v>6_381-11/2024/М</v>
      </c>
      <c r="B2468" s="6">
        <v>45621</v>
      </c>
      <c r="C2468" s="1" t="str">
        <f>"33"</f>
        <v>33</v>
      </c>
      <c r="D2468" s="2" t="str">
        <f>"33 Довідки різного характеру"</f>
        <v>33 Довідки різного характеру</v>
      </c>
      <c r="E2468" s="1" t="s">
        <v>20</v>
      </c>
      <c r="F246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68" s="1" t="str">
        <f t="shared" si="342"/>
        <v>Фізична особа</v>
      </c>
      <c r="H2468" s="1" t="s">
        <v>20</v>
      </c>
      <c r="I2468" s="1" t="s">
        <v>20</v>
      </c>
      <c r="J2468" s="1" t="str">
        <f t="shared" si="341"/>
        <v>Закрито</v>
      </c>
      <c r="K2468" s="5">
        <v>45621</v>
      </c>
      <c r="L2468" s="1" t="s">
        <v>20</v>
      </c>
      <c r="M2468" s="1" t="s">
        <v>22</v>
      </c>
      <c r="N2468" s="5">
        <v>45621</v>
      </c>
    </row>
    <row r="2469" spans="1:14" x14ac:dyDescent="0.3">
      <c r="A2469" s="1" t="str">
        <f>"22_565-11/2024/П"</f>
        <v>22_565-11/2024/П</v>
      </c>
      <c r="B2469" s="6">
        <v>45621</v>
      </c>
      <c r="C2469" s="1" t="str">
        <f>"33"</f>
        <v>33</v>
      </c>
      <c r="D2469" s="2" t="str">
        <f>"33 Довідки різного характеру"</f>
        <v>33 Довідки різного характеру</v>
      </c>
      <c r="E2469" s="1" t="s">
        <v>20</v>
      </c>
      <c r="F246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69" s="1" t="str">
        <f t="shared" si="342"/>
        <v>Фізична особа</v>
      </c>
      <c r="H2469" s="1" t="s">
        <v>20</v>
      </c>
      <c r="I2469" s="1" t="s">
        <v>20</v>
      </c>
      <c r="J2469" s="1" t="str">
        <f t="shared" si="341"/>
        <v>Закрито</v>
      </c>
      <c r="K2469" s="5">
        <v>45621</v>
      </c>
      <c r="L2469" s="1" t="s">
        <v>20</v>
      </c>
      <c r="M2469" s="1" t="s">
        <v>22</v>
      </c>
      <c r="N2469" s="5">
        <v>45621</v>
      </c>
    </row>
    <row r="2470" spans="1:14" x14ac:dyDescent="0.3">
      <c r="A2470" s="1" t="str">
        <f>"3_1421/4-11/2024/М"</f>
        <v>3_1421/4-11/2024/М</v>
      </c>
      <c r="B2470" s="6">
        <v>45621</v>
      </c>
      <c r="C2470" s="1" t="str">
        <f>"00060"</f>
        <v>00060</v>
      </c>
      <c r="D2470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470" s="1" t="s">
        <v>20</v>
      </c>
      <c r="F2470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470" s="1" t="str">
        <f t="shared" si="342"/>
        <v>Фізична особа</v>
      </c>
      <c r="H2470" s="1" t="s">
        <v>20</v>
      </c>
      <c r="I2470" s="1" t="s">
        <v>20</v>
      </c>
      <c r="J2470" s="1" t="str">
        <f t="shared" si="341"/>
        <v>Закрито</v>
      </c>
      <c r="K2470" s="5">
        <v>45636</v>
      </c>
      <c r="L2470" s="1" t="str">
        <f>"151.4"</f>
        <v>151.4</v>
      </c>
      <c r="M2470" s="1" t="s">
        <v>22</v>
      </c>
      <c r="N2470" s="5">
        <v>45636</v>
      </c>
    </row>
    <row r="2471" spans="1:14" x14ac:dyDescent="0.3">
      <c r="A2471" s="1" t="str">
        <f>"9_1704/04054323-11/2024/А"</f>
        <v>9_1704/04054323-11/2024/А</v>
      </c>
      <c r="B2471" s="6">
        <v>45621</v>
      </c>
      <c r="C2471" s="1" t="str">
        <f>"011"</f>
        <v>011</v>
      </c>
      <c r="D2471" s="2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2471" s="1" t="str">
        <f>"04054323"</f>
        <v>04054323</v>
      </c>
      <c r="F2471" s="1" t="str">
        <f>"Рогатинська міська рада"</f>
        <v>Рогатинська міська рада</v>
      </c>
      <c r="G2471" s="1" t="str">
        <f t="shared" si="342"/>
        <v>Фізична особа</v>
      </c>
      <c r="H2471" s="1" t="s">
        <v>20</v>
      </c>
      <c r="I2471" s="1" t="s">
        <v>20</v>
      </c>
      <c r="J2471" s="1" t="str">
        <f>"На обробці в СНАП"</f>
        <v>На обробці в СНАП</v>
      </c>
      <c r="K2471" s="1" t="s">
        <v>20</v>
      </c>
      <c r="L2471" s="1" t="s">
        <v>20</v>
      </c>
      <c r="M2471" s="1" t="s">
        <v>22</v>
      </c>
      <c r="N2471" s="1" t="s">
        <v>20</v>
      </c>
    </row>
    <row r="2472" spans="1:14" x14ac:dyDescent="0.3">
      <c r="A2472" s="1" t="str">
        <f>"3_1422/4-11/2024/М"</f>
        <v>3_1422/4-11/2024/М</v>
      </c>
      <c r="B2472" s="6">
        <v>45621</v>
      </c>
      <c r="C2472" s="1" t="str">
        <f>"00060"</f>
        <v>00060</v>
      </c>
      <c r="D2472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472" s="1" t="s">
        <v>20</v>
      </c>
      <c r="F2472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472" s="1" t="str">
        <f t="shared" si="342"/>
        <v>Фізична особа</v>
      </c>
      <c r="H2472" s="1" t="s">
        <v>20</v>
      </c>
      <c r="I2472" s="1" t="s">
        <v>20</v>
      </c>
      <c r="J2472" s="1" t="str">
        <f>"Закрито"</f>
        <v>Закрито</v>
      </c>
      <c r="K2472" s="5">
        <v>45646</v>
      </c>
      <c r="L2472" s="1" t="str">
        <f>"151.4"</f>
        <v>151.4</v>
      </c>
      <c r="M2472" s="1" t="s">
        <v>22</v>
      </c>
      <c r="N2472" s="5">
        <v>45646</v>
      </c>
    </row>
    <row r="2473" spans="1:14" x14ac:dyDescent="0.3">
      <c r="A2473" s="1" t="str">
        <f>"12_909-11/2024/С"</f>
        <v>12_909-11/2024/С</v>
      </c>
      <c r="B2473" s="6">
        <v>45621</v>
      </c>
      <c r="C2473" s="1" t="str">
        <f>"00133"</f>
        <v>00133</v>
      </c>
      <c r="D2473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473" s="1" t="str">
        <f>"03193413"</f>
        <v>03193413</v>
      </c>
      <c r="F247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473" s="1" t="str">
        <f t="shared" si="342"/>
        <v>Фізична особа</v>
      </c>
      <c r="H2473" s="1" t="s">
        <v>20</v>
      </c>
      <c r="I2473" s="1" t="s">
        <v>20</v>
      </c>
      <c r="J2473" s="1" t="str">
        <f>"Зареєстрований"</f>
        <v>Зареєстрований</v>
      </c>
      <c r="K2473" s="1" t="s">
        <v>20</v>
      </c>
      <c r="L2473" s="1" t="s">
        <v>20</v>
      </c>
      <c r="M2473" s="1" t="s">
        <v>22</v>
      </c>
      <c r="N2473" s="1" t="s">
        <v>20</v>
      </c>
    </row>
    <row r="2474" spans="1:14" x14ac:dyDescent="0.3">
      <c r="A2474" s="1" t="str">
        <f>"3_1423/4-11/2024/М"</f>
        <v>3_1423/4-11/2024/М</v>
      </c>
      <c r="B2474" s="6">
        <v>45621</v>
      </c>
      <c r="C2474" s="1" t="str">
        <f>"00060"</f>
        <v>00060</v>
      </c>
      <c r="D2474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474" s="1" t="s">
        <v>20</v>
      </c>
      <c r="F2474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474" s="1" t="str">
        <f t="shared" si="342"/>
        <v>Фізична особа</v>
      </c>
      <c r="H2474" s="1" t="s">
        <v>20</v>
      </c>
      <c r="I2474" s="1" t="s">
        <v>20</v>
      </c>
      <c r="J2474" s="1" t="str">
        <f>"Закрито"</f>
        <v>Закрито</v>
      </c>
      <c r="K2474" s="5">
        <v>45646</v>
      </c>
      <c r="L2474" s="1" t="s">
        <v>20</v>
      </c>
      <c r="M2474" s="1" t="s">
        <v>22</v>
      </c>
      <c r="N2474" s="5">
        <v>45646</v>
      </c>
    </row>
    <row r="2475" spans="1:14" x14ac:dyDescent="0.3">
      <c r="A2475" s="1" t="str">
        <f>"9_1705/04054323-11/2024/Ш"</f>
        <v>9_1705/04054323-11/2024/Ш</v>
      </c>
      <c r="B2475" s="6">
        <v>45621</v>
      </c>
      <c r="C2475" s="1" t="str">
        <f>"011"</f>
        <v>011</v>
      </c>
      <c r="D2475" s="2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2475" s="1" t="str">
        <f>"04054323"</f>
        <v>04054323</v>
      </c>
      <c r="F2475" s="1" t="str">
        <f>"Рогатинська міська рада"</f>
        <v>Рогатинська міська рада</v>
      </c>
      <c r="G2475" s="1" t="s">
        <v>21</v>
      </c>
      <c r="H2475" s="1" t="s">
        <v>20</v>
      </c>
      <c r="I2475" s="1" t="s">
        <v>20</v>
      </c>
      <c r="J2475" s="1" t="str">
        <f>"На обробці в СНАП"</f>
        <v>На обробці в СНАП</v>
      </c>
      <c r="K2475" s="1" t="s">
        <v>20</v>
      </c>
      <c r="L2475" s="1" t="s">
        <v>20</v>
      </c>
      <c r="M2475" s="1" t="s">
        <v>22</v>
      </c>
      <c r="N2475" s="1" t="s">
        <v>20</v>
      </c>
    </row>
    <row r="2476" spans="1:14" x14ac:dyDescent="0.3">
      <c r="A2476" s="1" t="str">
        <f>"6_355/04054323-11/2024/П"</f>
        <v>6_355/04054323-11/2024/П</v>
      </c>
      <c r="B2476" s="6">
        <v>45621</v>
      </c>
      <c r="C2476" s="1" t="str">
        <f>"00190"</f>
        <v>00190</v>
      </c>
      <c r="D2476" s="2" t="str">
        <f>"Оформлення паспорта прив’язки тимчасової споруди для провадження підприємницької діяльності"</f>
        <v>Оформлення паспорта прив’язки тимчасової споруди для провадження підприємницької діяльності</v>
      </c>
      <c r="E2476" s="1" t="str">
        <f>"04054323"</f>
        <v>04054323</v>
      </c>
      <c r="F2476" s="1" t="str">
        <f>"Рогатинська міська рада"</f>
        <v>Рогатинська міська рада</v>
      </c>
      <c r="G2476" s="1" t="str">
        <f>"Фізична особа"</f>
        <v>Фізична особа</v>
      </c>
      <c r="H2476" s="1" t="s">
        <v>20</v>
      </c>
      <c r="I2476" s="1" t="s">
        <v>20</v>
      </c>
      <c r="J2476" s="1" t="str">
        <f>"Закрито"</f>
        <v>Закрито</v>
      </c>
      <c r="K2476" s="5">
        <v>45623</v>
      </c>
      <c r="L2476" s="1" t="s">
        <v>20</v>
      </c>
      <c r="M2476" s="1" t="s">
        <v>22</v>
      </c>
      <c r="N2476" s="5">
        <v>45623</v>
      </c>
    </row>
    <row r="2477" spans="1:14" x14ac:dyDescent="0.3">
      <c r="A2477" s="1" t="str">
        <f>"2_2039/2129-11/2024/Р"</f>
        <v>2_2039/2129-11/2024/Р</v>
      </c>
      <c r="B2477" s="6">
        <v>45621</v>
      </c>
      <c r="C2477" s="1" t="str">
        <f>"00041"</f>
        <v>00041</v>
      </c>
      <c r="D247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77" s="1" t="s">
        <v>20</v>
      </c>
      <c r="F247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77" s="1" t="str">
        <f>"Юридична особа"</f>
        <v>Юридична особа</v>
      </c>
      <c r="H2477" s="1" t="str">
        <f>"РОГАТИНСЬКА МІСЬКА РАДА"</f>
        <v>РОГАТИНСЬКА МІСЬКА РАДА</v>
      </c>
      <c r="I2477" s="1" t="str">
        <f>"04054323"</f>
        <v>04054323</v>
      </c>
      <c r="J2477" s="1" t="str">
        <f>"Зареєстрований"</f>
        <v>Зареєстрований</v>
      </c>
      <c r="K2477" s="1" t="s">
        <v>20</v>
      </c>
      <c r="L2477" s="1" t="s">
        <v>20</v>
      </c>
      <c r="M2477" s="1" t="s">
        <v>22</v>
      </c>
      <c r="N2477" s="1" t="s">
        <v>20</v>
      </c>
    </row>
    <row r="2478" spans="1:14" x14ac:dyDescent="0.3">
      <c r="A2478" s="1" t="str">
        <f>"6_356/04054323-11/2024/П"</f>
        <v>6_356/04054323-11/2024/П</v>
      </c>
      <c r="B2478" s="6">
        <v>45621</v>
      </c>
      <c r="C2478" s="1" t="str">
        <f>"00190"</f>
        <v>00190</v>
      </c>
      <c r="D2478" s="2" t="str">
        <f>"Оформлення паспорта прив’язки тимчасової споруди для провадження підприємницької діяльності"</f>
        <v>Оформлення паспорта прив’язки тимчасової споруди для провадження підприємницької діяльності</v>
      </c>
      <c r="E2478" s="1" t="str">
        <f>"04054323"</f>
        <v>04054323</v>
      </c>
      <c r="F2478" s="1" t="str">
        <f>"Рогатинська міська рада"</f>
        <v>Рогатинська міська рада</v>
      </c>
      <c r="G2478" s="1" t="str">
        <f>"Фізична особа"</f>
        <v>Фізична особа</v>
      </c>
      <c r="H2478" s="1" t="s">
        <v>20</v>
      </c>
      <c r="I2478" s="1" t="s">
        <v>20</v>
      </c>
      <c r="J2478" s="1" t="str">
        <f>"Закрито"</f>
        <v>Закрито</v>
      </c>
      <c r="K2478" s="5">
        <v>45623</v>
      </c>
      <c r="L2478" s="1" t="s">
        <v>20</v>
      </c>
      <c r="M2478" s="1" t="s">
        <v>22</v>
      </c>
      <c r="N2478" s="5">
        <v>45623</v>
      </c>
    </row>
    <row r="2479" spans="1:14" x14ac:dyDescent="0.3">
      <c r="A2479" s="1" t="str">
        <f>"2_2040/2129-11/2024/Р"</f>
        <v>2_2040/2129-11/2024/Р</v>
      </c>
      <c r="B2479" s="6">
        <v>45621</v>
      </c>
      <c r="C2479" s="1" t="str">
        <f t="shared" ref="C2479:C2488" si="343">"00041"</f>
        <v>00041</v>
      </c>
      <c r="D2479" s="2" t="str">
        <f t="shared" ref="D2479:D2488" si="344"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79" s="1" t="s">
        <v>20</v>
      </c>
      <c r="F2479" s="1" t="str">
        <f t="shared" ref="F2479:F2510" si="345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479" s="1" t="str">
        <f t="shared" ref="G2479:G2488" si="346">"Юридична особа"</f>
        <v>Юридична особа</v>
      </c>
      <c r="H2479" s="1" t="str">
        <f t="shared" ref="H2479:H2488" si="347">"РОГАТИНСЬКА МІСЬКА РАДА"</f>
        <v>РОГАТИНСЬКА МІСЬКА РАДА</v>
      </c>
      <c r="I2479" s="1" t="str">
        <f t="shared" ref="I2479:I2488" si="348">"04054323"</f>
        <v>04054323</v>
      </c>
      <c r="J2479" s="1" t="str">
        <f t="shared" ref="J2479:J2488" si="349">"Зареєстрований"</f>
        <v>Зареєстрований</v>
      </c>
      <c r="K2479" s="1" t="s">
        <v>20</v>
      </c>
      <c r="L2479" s="1" t="s">
        <v>20</v>
      </c>
      <c r="M2479" s="1" t="s">
        <v>22</v>
      </c>
      <c r="N2479" s="1" t="s">
        <v>20</v>
      </c>
    </row>
    <row r="2480" spans="1:14" x14ac:dyDescent="0.3">
      <c r="A2480" s="1" t="str">
        <f>"2_2041/2129-11/2024/Р"</f>
        <v>2_2041/2129-11/2024/Р</v>
      </c>
      <c r="B2480" s="6">
        <v>45621</v>
      </c>
      <c r="C2480" s="1" t="str">
        <f t="shared" si="343"/>
        <v>00041</v>
      </c>
      <c r="D2480" s="2" t="str">
        <f t="shared" si="344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80" s="1" t="s">
        <v>20</v>
      </c>
      <c r="F2480" s="1" t="str">
        <f t="shared" si="345"/>
        <v>Центр надання адміністративних послуг Рогатинської міської ради</v>
      </c>
      <c r="G2480" s="1" t="str">
        <f t="shared" si="346"/>
        <v>Юридична особа</v>
      </c>
      <c r="H2480" s="1" t="str">
        <f t="shared" si="347"/>
        <v>РОГАТИНСЬКА МІСЬКА РАДА</v>
      </c>
      <c r="I2480" s="1" t="str">
        <f t="shared" si="348"/>
        <v>04054323</v>
      </c>
      <c r="J2480" s="1" t="str">
        <f t="shared" si="349"/>
        <v>Зареєстрований</v>
      </c>
      <c r="K2480" s="1" t="s">
        <v>20</v>
      </c>
      <c r="L2480" s="1" t="s">
        <v>20</v>
      </c>
      <c r="M2480" s="1" t="s">
        <v>22</v>
      </c>
      <c r="N2480" s="1" t="s">
        <v>20</v>
      </c>
    </row>
    <row r="2481" spans="1:14" x14ac:dyDescent="0.3">
      <c r="A2481" s="1" t="str">
        <f>"2_2042/2129-11/2024/Р"</f>
        <v>2_2042/2129-11/2024/Р</v>
      </c>
      <c r="B2481" s="6">
        <v>45621</v>
      </c>
      <c r="C2481" s="1" t="str">
        <f t="shared" si="343"/>
        <v>00041</v>
      </c>
      <c r="D2481" s="2" t="str">
        <f t="shared" si="344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81" s="1" t="s">
        <v>20</v>
      </c>
      <c r="F2481" s="1" t="str">
        <f t="shared" si="345"/>
        <v>Центр надання адміністративних послуг Рогатинської міської ради</v>
      </c>
      <c r="G2481" s="1" t="str">
        <f t="shared" si="346"/>
        <v>Юридична особа</v>
      </c>
      <c r="H2481" s="1" t="str">
        <f t="shared" si="347"/>
        <v>РОГАТИНСЬКА МІСЬКА РАДА</v>
      </c>
      <c r="I2481" s="1" t="str">
        <f t="shared" si="348"/>
        <v>04054323</v>
      </c>
      <c r="J2481" s="1" t="str">
        <f t="shared" si="349"/>
        <v>Зареєстрований</v>
      </c>
      <c r="K2481" s="1" t="s">
        <v>20</v>
      </c>
      <c r="L2481" s="1" t="s">
        <v>20</v>
      </c>
      <c r="M2481" s="1" t="s">
        <v>22</v>
      </c>
      <c r="N2481" s="1" t="s">
        <v>20</v>
      </c>
    </row>
    <row r="2482" spans="1:14" x14ac:dyDescent="0.3">
      <c r="A2482" s="1" t="str">
        <f>"2_2043/2129-11/2024/Р"</f>
        <v>2_2043/2129-11/2024/Р</v>
      </c>
      <c r="B2482" s="6">
        <v>45621</v>
      </c>
      <c r="C2482" s="1" t="str">
        <f t="shared" si="343"/>
        <v>00041</v>
      </c>
      <c r="D2482" s="2" t="str">
        <f t="shared" si="344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82" s="1" t="s">
        <v>20</v>
      </c>
      <c r="F2482" s="1" t="str">
        <f t="shared" si="345"/>
        <v>Центр надання адміністративних послуг Рогатинської міської ради</v>
      </c>
      <c r="G2482" s="1" t="str">
        <f t="shared" si="346"/>
        <v>Юридична особа</v>
      </c>
      <c r="H2482" s="1" t="str">
        <f t="shared" si="347"/>
        <v>РОГАТИНСЬКА МІСЬКА РАДА</v>
      </c>
      <c r="I2482" s="1" t="str">
        <f t="shared" si="348"/>
        <v>04054323</v>
      </c>
      <c r="J2482" s="1" t="str">
        <f t="shared" si="349"/>
        <v>Зареєстрований</v>
      </c>
      <c r="K2482" s="1" t="s">
        <v>20</v>
      </c>
      <c r="L2482" s="1" t="s">
        <v>20</v>
      </c>
      <c r="M2482" s="1" t="s">
        <v>22</v>
      </c>
      <c r="N2482" s="1" t="s">
        <v>20</v>
      </c>
    </row>
    <row r="2483" spans="1:14" x14ac:dyDescent="0.3">
      <c r="A2483" s="1" t="str">
        <f>"2_2044/2129-11/2024/Р"</f>
        <v>2_2044/2129-11/2024/Р</v>
      </c>
      <c r="B2483" s="6">
        <v>45621</v>
      </c>
      <c r="C2483" s="1" t="str">
        <f t="shared" si="343"/>
        <v>00041</v>
      </c>
      <c r="D2483" s="2" t="str">
        <f t="shared" si="344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83" s="1" t="s">
        <v>20</v>
      </c>
      <c r="F2483" s="1" t="str">
        <f t="shared" si="345"/>
        <v>Центр надання адміністративних послуг Рогатинської міської ради</v>
      </c>
      <c r="G2483" s="1" t="str">
        <f t="shared" si="346"/>
        <v>Юридична особа</v>
      </c>
      <c r="H2483" s="1" t="str">
        <f t="shared" si="347"/>
        <v>РОГАТИНСЬКА МІСЬКА РАДА</v>
      </c>
      <c r="I2483" s="1" t="str">
        <f t="shared" si="348"/>
        <v>04054323</v>
      </c>
      <c r="J2483" s="1" t="str">
        <f t="shared" si="349"/>
        <v>Зареєстрований</v>
      </c>
      <c r="K2483" s="1" t="s">
        <v>20</v>
      </c>
      <c r="L2483" s="1" t="s">
        <v>20</v>
      </c>
      <c r="M2483" s="1" t="s">
        <v>22</v>
      </c>
      <c r="N2483" s="1" t="s">
        <v>20</v>
      </c>
    </row>
    <row r="2484" spans="1:14" x14ac:dyDescent="0.3">
      <c r="A2484" s="1" t="str">
        <f>"2_2045/2129-11/2024/Р"</f>
        <v>2_2045/2129-11/2024/Р</v>
      </c>
      <c r="B2484" s="6">
        <v>45621</v>
      </c>
      <c r="C2484" s="1" t="str">
        <f t="shared" si="343"/>
        <v>00041</v>
      </c>
      <c r="D2484" s="2" t="str">
        <f t="shared" si="344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84" s="1" t="s">
        <v>20</v>
      </c>
      <c r="F2484" s="1" t="str">
        <f t="shared" si="345"/>
        <v>Центр надання адміністративних послуг Рогатинської міської ради</v>
      </c>
      <c r="G2484" s="1" t="str">
        <f t="shared" si="346"/>
        <v>Юридична особа</v>
      </c>
      <c r="H2484" s="1" t="str">
        <f t="shared" si="347"/>
        <v>РОГАТИНСЬКА МІСЬКА РАДА</v>
      </c>
      <c r="I2484" s="1" t="str">
        <f t="shared" si="348"/>
        <v>04054323</v>
      </c>
      <c r="J2484" s="1" t="str">
        <f t="shared" si="349"/>
        <v>Зареєстрований</v>
      </c>
      <c r="K2484" s="1" t="s">
        <v>20</v>
      </c>
      <c r="L2484" s="1" t="s">
        <v>20</v>
      </c>
      <c r="M2484" s="1" t="s">
        <v>22</v>
      </c>
      <c r="N2484" s="1" t="s">
        <v>20</v>
      </c>
    </row>
    <row r="2485" spans="1:14" x14ac:dyDescent="0.3">
      <c r="A2485" s="1" t="str">
        <f>"2_2046/2129-11/2024/Р"</f>
        <v>2_2046/2129-11/2024/Р</v>
      </c>
      <c r="B2485" s="6">
        <v>45621</v>
      </c>
      <c r="C2485" s="1" t="str">
        <f t="shared" si="343"/>
        <v>00041</v>
      </c>
      <c r="D2485" s="2" t="str">
        <f t="shared" si="344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85" s="1" t="s">
        <v>20</v>
      </c>
      <c r="F2485" s="1" t="str">
        <f t="shared" si="345"/>
        <v>Центр надання адміністративних послуг Рогатинської міської ради</v>
      </c>
      <c r="G2485" s="1" t="str">
        <f t="shared" si="346"/>
        <v>Юридична особа</v>
      </c>
      <c r="H2485" s="1" t="str">
        <f t="shared" si="347"/>
        <v>РОГАТИНСЬКА МІСЬКА РАДА</v>
      </c>
      <c r="I2485" s="1" t="str">
        <f t="shared" si="348"/>
        <v>04054323</v>
      </c>
      <c r="J2485" s="1" t="str">
        <f t="shared" si="349"/>
        <v>Зареєстрований</v>
      </c>
      <c r="K2485" s="1" t="s">
        <v>20</v>
      </c>
      <c r="L2485" s="1" t="s">
        <v>20</v>
      </c>
      <c r="M2485" s="1" t="s">
        <v>22</v>
      </c>
      <c r="N2485" s="1" t="s">
        <v>20</v>
      </c>
    </row>
    <row r="2486" spans="1:14" x14ac:dyDescent="0.3">
      <c r="A2486" s="1" t="str">
        <f>"2_2047/2129-11/2024/Р"</f>
        <v>2_2047/2129-11/2024/Р</v>
      </c>
      <c r="B2486" s="6">
        <v>45621</v>
      </c>
      <c r="C2486" s="1" t="str">
        <f t="shared" si="343"/>
        <v>00041</v>
      </c>
      <c r="D2486" s="2" t="str">
        <f t="shared" si="344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86" s="1" t="s">
        <v>20</v>
      </c>
      <c r="F2486" s="1" t="str">
        <f t="shared" si="345"/>
        <v>Центр надання адміністративних послуг Рогатинської міської ради</v>
      </c>
      <c r="G2486" s="1" t="str">
        <f t="shared" si="346"/>
        <v>Юридична особа</v>
      </c>
      <c r="H2486" s="1" t="str">
        <f t="shared" si="347"/>
        <v>РОГАТИНСЬКА МІСЬКА РАДА</v>
      </c>
      <c r="I2486" s="1" t="str">
        <f t="shared" si="348"/>
        <v>04054323</v>
      </c>
      <c r="J2486" s="1" t="str">
        <f t="shared" si="349"/>
        <v>Зареєстрований</v>
      </c>
      <c r="K2486" s="1" t="s">
        <v>20</v>
      </c>
      <c r="L2486" s="1" t="s">
        <v>20</v>
      </c>
      <c r="M2486" s="1" t="s">
        <v>22</v>
      </c>
      <c r="N2486" s="1" t="s">
        <v>20</v>
      </c>
    </row>
    <row r="2487" spans="1:14" x14ac:dyDescent="0.3">
      <c r="A2487" s="1" t="str">
        <f>"2_2048/2129-11/2024/Р"</f>
        <v>2_2048/2129-11/2024/Р</v>
      </c>
      <c r="B2487" s="6">
        <v>45621</v>
      </c>
      <c r="C2487" s="1" t="str">
        <f t="shared" si="343"/>
        <v>00041</v>
      </c>
      <c r="D2487" s="2" t="str">
        <f t="shared" si="344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87" s="1" t="s">
        <v>20</v>
      </c>
      <c r="F2487" s="1" t="str">
        <f t="shared" si="345"/>
        <v>Центр надання адміністративних послуг Рогатинської міської ради</v>
      </c>
      <c r="G2487" s="1" t="str">
        <f t="shared" si="346"/>
        <v>Юридична особа</v>
      </c>
      <c r="H2487" s="1" t="str">
        <f t="shared" si="347"/>
        <v>РОГАТИНСЬКА МІСЬКА РАДА</v>
      </c>
      <c r="I2487" s="1" t="str">
        <f t="shared" si="348"/>
        <v>04054323</v>
      </c>
      <c r="J2487" s="1" t="str">
        <f t="shared" si="349"/>
        <v>Зареєстрований</v>
      </c>
      <c r="K2487" s="1" t="s">
        <v>20</v>
      </c>
      <c r="L2487" s="1" t="s">
        <v>20</v>
      </c>
      <c r="M2487" s="1" t="s">
        <v>22</v>
      </c>
      <c r="N2487" s="1" t="s">
        <v>20</v>
      </c>
    </row>
    <row r="2488" spans="1:14" x14ac:dyDescent="0.3">
      <c r="A2488" s="1" t="str">
        <f>"2_2049/2129-11/2024/Р"</f>
        <v>2_2049/2129-11/2024/Р</v>
      </c>
      <c r="B2488" s="6">
        <v>45621</v>
      </c>
      <c r="C2488" s="1" t="str">
        <f t="shared" si="343"/>
        <v>00041</v>
      </c>
      <c r="D2488" s="2" t="str">
        <f t="shared" si="344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88" s="1" t="s">
        <v>20</v>
      </c>
      <c r="F2488" s="1" t="str">
        <f t="shared" si="345"/>
        <v>Центр надання адміністративних послуг Рогатинської міської ради</v>
      </c>
      <c r="G2488" s="1" t="str">
        <f t="shared" si="346"/>
        <v>Юридична особа</v>
      </c>
      <c r="H2488" s="1" t="str">
        <f t="shared" si="347"/>
        <v>РОГАТИНСЬКА МІСЬКА РАДА</v>
      </c>
      <c r="I2488" s="1" t="str">
        <f t="shared" si="348"/>
        <v>04054323</v>
      </c>
      <c r="J2488" s="1" t="str">
        <f t="shared" si="349"/>
        <v>Зареєстрований</v>
      </c>
      <c r="K2488" s="1" t="s">
        <v>20</v>
      </c>
      <c r="L2488" s="1" t="s">
        <v>20</v>
      </c>
      <c r="M2488" s="1" t="s">
        <v>22</v>
      </c>
      <c r="N2488" s="1" t="s">
        <v>20</v>
      </c>
    </row>
    <row r="2489" spans="1:14" x14ac:dyDescent="0.3">
      <c r="A2489" s="1" t="str">
        <f>"5_504-11/2024/К"</f>
        <v>5_504-11/2024/К</v>
      </c>
      <c r="B2489" s="6">
        <v>45621</v>
      </c>
      <c r="C2489" s="1" t="str">
        <f>"00038"</f>
        <v>00038</v>
      </c>
      <c r="D248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489" s="1" t="s">
        <v>20</v>
      </c>
      <c r="F2489" s="1" t="str">
        <f t="shared" si="345"/>
        <v>Центр надання адміністративних послуг Рогатинської міської ради</v>
      </c>
      <c r="G2489" s="1" t="str">
        <f>"Фізична особа"</f>
        <v>Фізична особа</v>
      </c>
      <c r="H2489" s="1" t="s">
        <v>20</v>
      </c>
      <c r="I2489" s="1" t="s">
        <v>20</v>
      </c>
      <c r="J2489" s="1" t="str">
        <f>"Закрито"</f>
        <v>Закрито</v>
      </c>
      <c r="K2489" s="5">
        <v>45621</v>
      </c>
      <c r="L2489" s="1" t="s">
        <v>20</v>
      </c>
      <c r="M2489" s="1" t="s">
        <v>22</v>
      </c>
      <c r="N2489" s="5">
        <v>45621</v>
      </c>
    </row>
    <row r="2490" spans="1:14" x14ac:dyDescent="0.3">
      <c r="A2490" s="1" t="str">
        <f>"2_2050/2129-11/2024/Р"</f>
        <v>2_2050/2129-11/2024/Р</v>
      </c>
      <c r="B2490" s="6">
        <v>45621</v>
      </c>
      <c r="C2490" s="1" t="str">
        <f>"00041"</f>
        <v>00041</v>
      </c>
      <c r="D249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90" s="1" t="s">
        <v>20</v>
      </c>
      <c r="F2490" s="1" t="str">
        <f t="shared" si="345"/>
        <v>Центр надання адміністративних послуг Рогатинської міської ради</v>
      </c>
      <c r="G2490" s="1" t="str">
        <f>"Юридична особа"</f>
        <v>Юридична особа</v>
      </c>
      <c r="H2490" s="1" t="str">
        <f>"РОГАТИНСЬКА МІСЬКА РАДА"</f>
        <v>РОГАТИНСЬКА МІСЬКА РАДА</v>
      </c>
      <c r="I2490" s="1" t="str">
        <f>"04054323"</f>
        <v>04054323</v>
      </c>
      <c r="J2490" s="1" t="str">
        <f>"Зареєстрований"</f>
        <v>Зареєстрований</v>
      </c>
      <c r="K2490" s="1" t="s">
        <v>20</v>
      </c>
      <c r="L2490" s="1" t="s">
        <v>20</v>
      </c>
      <c r="M2490" s="1" t="s">
        <v>22</v>
      </c>
      <c r="N2490" s="1" t="s">
        <v>20</v>
      </c>
    </row>
    <row r="2491" spans="1:14" x14ac:dyDescent="0.3">
      <c r="A2491" s="1" t="str">
        <f>"2_2051/2129-11/2024/Р"</f>
        <v>2_2051/2129-11/2024/Р</v>
      </c>
      <c r="B2491" s="6">
        <v>45621</v>
      </c>
      <c r="C2491" s="1" t="str">
        <f>"00041"</f>
        <v>00041</v>
      </c>
      <c r="D249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91" s="1" t="s">
        <v>20</v>
      </c>
      <c r="F2491" s="1" t="str">
        <f t="shared" si="345"/>
        <v>Центр надання адміністративних послуг Рогатинської міської ради</v>
      </c>
      <c r="G2491" s="1" t="str">
        <f>"Юридична особа"</f>
        <v>Юридична особа</v>
      </c>
      <c r="H2491" s="1" t="str">
        <f>"РОГАТИНСЬКА МІСЬКА РАДА"</f>
        <v>РОГАТИНСЬКА МІСЬКА РАДА</v>
      </c>
      <c r="I2491" s="1" t="str">
        <f>"04054323"</f>
        <v>04054323</v>
      </c>
      <c r="J2491" s="1" t="str">
        <f>"Зареєстрований"</f>
        <v>Зареєстрований</v>
      </c>
      <c r="K2491" s="1" t="s">
        <v>20</v>
      </c>
      <c r="L2491" s="1" t="s">
        <v>20</v>
      </c>
      <c r="M2491" s="1" t="s">
        <v>22</v>
      </c>
      <c r="N2491" s="1" t="s">
        <v>20</v>
      </c>
    </row>
    <row r="2492" spans="1:14" x14ac:dyDescent="0.3">
      <c r="A2492" s="1" t="str">
        <f>"2_2052/2129-11/2024/Р"</f>
        <v>2_2052/2129-11/2024/Р</v>
      </c>
      <c r="B2492" s="6">
        <v>45621</v>
      </c>
      <c r="C2492" s="1" t="str">
        <f>"00041"</f>
        <v>00041</v>
      </c>
      <c r="D249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92" s="1" t="s">
        <v>20</v>
      </c>
      <c r="F2492" s="1" t="str">
        <f t="shared" si="345"/>
        <v>Центр надання адміністративних послуг Рогатинської міської ради</v>
      </c>
      <c r="G2492" s="1" t="str">
        <f>"Юридична особа"</f>
        <v>Юридична особа</v>
      </c>
      <c r="H2492" s="1" t="str">
        <f>"РОГАТИНСЬКА МІСЬКА РАДА"</f>
        <v>РОГАТИНСЬКА МІСЬКА РАДА</v>
      </c>
      <c r="I2492" s="1" t="str">
        <f>"04054323"</f>
        <v>04054323</v>
      </c>
      <c r="J2492" s="1" t="str">
        <f>"Зареєстрований"</f>
        <v>Зареєстрований</v>
      </c>
      <c r="K2492" s="1" t="s">
        <v>20</v>
      </c>
      <c r="L2492" s="1" t="s">
        <v>20</v>
      </c>
      <c r="M2492" s="1" t="s">
        <v>22</v>
      </c>
      <c r="N2492" s="1" t="s">
        <v>20</v>
      </c>
    </row>
    <row r="2493" spans="1:14" x14ac:dyDescent="0.3">
      <c r="A2493" s="1" t="str">
        <f>"2_2053/2129-11/2024/Р"</f>
        <v>2_2053/2129-11/2024/Р</v>
      </c>
      <c r="B2493" s="6">
        <v>45621</v>
      </c>
      <c r="C2493" s="1" t="str">
        <f>"00041"</f>
        <v>00041</v>
      </c>
      <c r="D2493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93" s="1" t="s">
        <v>20</v>
      </c>
      <c r="F2493" s="1" t="str">
        <f t="shared" si="345"/>
        <v>Центр надання адміністративних послуг Рогатинської міської ради</v>
      </c>
      <c r="G2493" s="1" t="str">
        <f>"Юридична особа"</f>
        <v>Юридична особа</v>
      </c>
      <c r="H2493" s="1" t="str">
        <f>"РОГАТИНСЬКА МІСЬКА РАДА"</f>
        <v>РОГАТИНСЬКА МІСЬКА РАДА</v>
      </c>
      <c r="I2493" s="1" t="str">
        <f>"04054323"</f>
        <v>04054323</v>
      </c>
      <c r="J2493" s="1" t="str">
        <f>"Зареєстрований"</f>
        <v>Зареєстрований</v>
      </c>
      <c r="K2493" s="1" t="s">
        <v>20</v>
      </c>
      <c r="L2493" s="1" t="s">
        <v>20</v>
      </c>
      <c r="M2493" s="1" t="s">
        <v>22</v>
      </c>
      <c r="N2493" s="1" t="s">
        <v>20</v>
      </c>
    </row>
    <row r="2494" spans="1:14" x14ac:dyDescent="0.3">
      <c r="A2494" s="1" t="str">
        <f>"9_570-11/2024/П"</f>
        <v>9_570-11/2024/П</v>
      </c>
      <c r="B2494" s="6">
        <v>45621</v>
      </c>
      <c r="C2494" s="1" t="str">
        <f>"01296"</f>
        <v>01296</v>
      </c>
      <c r="D2494" s="2" t="str">
        <f>"Видача довідки про проживання без реєстрації"</f>
        <v>Видача довідки про проживання без реєстрації</v>
      </c>
      <c r="E2494" s="1" t="s">
        <v>20</v>
      </c>
      <c r="F2494" s="1" t="str">
        <f t="shared" si="345"/>
        <v>Центр надання адміністративних послуг Рогатинської міської ради</v>
      </c>
      <c r="G2494" s="1" t="str">
        <f>"Фізична особа"</f>
        <v>Фізична особа</v>
      </c>
      <c r="H2494" s="1" t="s">
        <v>20</v>
      </c>
      <c r="I2494" s="1" t="s">
        <v>20</v>
      </c>
      <c r="J2494" s="1" t="str">
        <f>"Закрито"</f>
        <v>Закрито</v>
      </c>
      <c r="K2494" s="5">
        <v>45621</v>
      </c>
      <c r="L2494" s="1" t="s">
        <v>20</v>
      </c>
      <c r="M2494" s="1" t="s">
        <v>22</v>
      </c>
      <c r="N2494" s="5">
        <v>45621</v>
      </c>
    </row>
    <row r="2495" spans="1:14" x14ac:dyDescent="0.3">
      <c r="A2495" s="1" t="str">
        <f>"2_2054/2129-11/2024/Р"</f>
        <v>2_2054/2129-11/2024/Р</v>
      </c>
      <c r="B2495" s="6">
        <v>45621</v>
      </c>
      <c r="C2495" s="1" t="str">
        <f>"00041"</f>
        <v>00041</v>
      </c>
      <c r="D249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95" s="1" t="s">
        <v>20</v>
      </c>
      <c r="F2495" s="1" t="str">
        <f t="shared" si="345"/>
        <v>Центр надання адміністративних послуг Рогатинської міської ради</v>
      </c>
      <c r="G2495" s="1" t="str">
        <f>"Юридична особа"</f>
        <v>Юридична особа</v>
      </c>
      <c r="H2495" s="1" t="str">
        <f>"РОГАТИНСЬКА МІСЬКА РАДА"</f>
        <v>РОГАТИНСЬКА МІСЬКА РАДА</v>
      </c>
      <c r="I2495" s="1" t="str">
        <f>"04054323"</f>
        <v>04054323</v>
      </c>
      <c r="J2495" s="1" t="str">
        <f>"Зареєстрований"</f>
        <v>Зареєстрований</v>
      </c>
      <c r="K2495" s="1" t="s">
        <v>20</v>
      </c>
      <c r="L2495" s="1" t="s">
        <v>20</v>
      </c>
      <c r="M2495" s="1" t="s">
        <v>22</v>
      </c>
      <c r="N2495" s="1" t="s">
        <v>20</v>
      </c>
    </row>
    <row r="2496" spans="1:14" x14ac:dyDescent="0.3">
      <c r="A2496" s="1" t="str">
        <f>"2_2055/2129-11/2024/Р"</f>
        <v>2_2055/2129-11/2024/Р</v>
      </c>
      <c r="B2496" s="6">
        <v>45621</v>
      </c>
      <c r="C2496" s="1" t="str">
        <f>"00041"</f>
        <v>00041</v>
      </c>
      <c r="D249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96" s="1" t="s">
        <v>20</v>
      </c>
      <c r="F2496" s="1" t="str">
        <f t="shared" si="345"/>
        <v>Центр надання адміністративних послуг Рогатинської міської ради</v>
      </c>
      <c r="G2496" s="1" t="str">
        <f>"Юридична особа"</f>
        <v>Юридична особа</v>
      </c>
      <c r="H2496" s="1" t="str">
        <f>"РОГАТИНСЬКА МІСЬКА РАДА"</f>
        <v>РОГАТИНСЬКА МІСЬКА РАДА</v>
      </c>
      <c r="I2496" s="1" t="str">
        <f>"04054323"</f>
        <v>04054323</v>
      </c>
      <c r="J2496" s="1" t="str">
        <f>"Зареєстрований"</f>
        <v>Зареєстрований</v>
      </c>
      <c r="K2496" s="1" t="s">
        <v>20</v>
      </c>
      <c r="L2496" s="1" t="s">
        <v>20</v>
      </c>
      <c r="M2496" s="1" t="s">
        <v>22</v>
      </c>
      <c r="N2496" s="1" t="s">
        <v>20</v>
      </c>
    </row>
    <row r="2497" spans="1:14" x14ac:dyDescent="0.3">
      <c r="A2497" s="1" t="str">
        <f>"2_2056/2129-11/2024/Р"</f>
        <v>2_2056/2129-11/2024/Р</v>
      </c>
      <c r="B2497" s="6">
        <v>45621</v>
      </c>
      <c r="C2497" s="1" t="str">
        <f>"00041"</f>
        <v>00041</v>
      </c>
      <c r="D249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97" s="1" t="s">
        <v>20</v>
      </c>
      <c r="F2497" s="1" t="str">
        <f t="shared" si="345"/>
        <v>Центр надання адміністративних послуг Рогатинської міської ради</v>
      </c>
      <c r="G2497" s="1" t="str">
        <f>"Юридична особа"</f>
        <v>Юридична особа</v>
      </c>
      <c r="H2497" s="1" t="str">
        <f>"РОГАТИНСЬКА МІСЬКА РАДА"</f>
        <v>РОГАТИНСЬКА МІСЬКА РАДА</v>
      </c>
      <c r="I2497" s="1" t="str">
        <f>"04054323"</f>
        <v>04054323</v>
      </c>
      <c r="J2497" s="1" t="str">
        <f>"Зареєстрований"</f>
        <v>Зареєстрований</v>
      </c>
      <c r="K2497" s="1" t="s">
        <v>20</v>
      </c>
      <c r="L2497" s="1" t="s">
        <v>20</v>
      </c>
      <c r="M2497" s="1" t="s">
        <v>22</v>
      </c>
      <c r="N2497" s="1" t="s">
        <v>20</v>
      </c>
    </row>
    <row r="2498" spans="1:14" x14ac:dyDescent="0.3">
      <c r="A2498" s="1" t="str">
        <f>"2_2057/2129-11/2024/Р"</f>
        <v>2_2057/2129-11/2024/Р</v>
      </c>
      <c r="B2498" s="6">
        <v>45621</v>
      </c>
      <c r="C2498" s="1" t="str">
        <f>"00041"</f>
        <v>00041</v>
      </c>
      <c r="D249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498" s="1" t="s">
        <v>20</v>
      </c>
      <c r="F2498" s="1" t="str">
        <f t="shared" si="345"/>
        <v>Центр надання адміністративних послуг Рогатинської міської ради</v>
      </c>
      <c r="G2498" s="1" t="str">
        <f>"Юридична особа"</f>
        <v>Юридична особа</v>
      </c>
      <c r="H2498" s="1" t="str">
        <f>"РОГАТИНСЬКА МІСЬКА РАДА"</f>
        <v>РОГАТИНСЬКА МІСЬКА РАДА</v>
      </c>
      <c r="I2498" s="1" t="str">
        <f>"04054323"</f>
        <v>04054323</v>
      </c>
      <c r="J2498" s="1" t="str">
        <f>"Зареєстрований"</f>
        <v>Зареєстрований</v>
      </c>
      <c r="K2498" s="1" t="s">
        <v>20</v>
      </c>
      <c r="L2498" s="1" t="s">
        <v>20</v>
      </c>
      <c r="M2498" s="1" t="s">
        <v>22</v>
      </c>
      <c r="N2498" s="1" t="s">
        <v>20</v>
      </c>
    </row>
    <row r="2499" spans="1:14" x14ac:dyDescent="0.3">
      <c r="A2499" s="1" t="str">
        <f>"9_571-11/2024/П"</f>
        <v>9_571-11/2024/П</v>
      </c>
      <c r="B2499" s="6">
        <v>45621</v>
      </c>
      <c r="C2499" s="1" t="str">
        <f>"33"</f>
        <v>33</v>
      </c>
      <c r="D2499" s="2" t="str">
        <f>"33 Довідки різного характеру"</f>
        <v>33 Довідки різного характеру</v>
      </c>
      <c r="E2499" s="1" t="s">
        <v>20</v>
      </c>
      <c r="F2499" s="1" t="str">
        <f t="shared" si="345"/>
        <v>Центр надання адміністративних послуг Рогатинської міської ради</v>
      </c>
      <c r="G2499" s="1" t="str">
        <f>"Фізична особа"</f>
        <v>Фізична особа</v>
      </c>
      <c r="H2499" s="1" t="s">
        <v>20</v>
      </c>
      <c r="I2499" s="1" t="s">
        <v>20</v>
      </c>
      <c r="J2499" s="1" t="str">
        <f>"Закрито"</f>
        <v>Закрито</v>
      </c>
      <c r="K2499" s="5">
        <v>45621</v>
      </c>
      <c r="L2499" s="1" t="s">
        <v>20</v>
      </c>
      <c r="M2499" s="1" t="s">
        <v>22</v>
      </c>
      <c r="N2499" s="5">
        <v>45621</v>
      </c>
    </row>
    <row r="2500" spans="1:14" x14ac:dyDescent="0.3">
      <c r="A2500" s="1" t="str">
        <f>"5_505-11/2024/П"</f>
        <v>5_505-11/2024/П</v>
      </c>
      <c r="B2500" s="6">
        <v>45621</v>
      </c>
      <c r="C2500" s="1" t="str">
        <f>"01298"</f>
        <v>01298</v>
      </c>
      <c r="D2500" s="2" t="str">
        <f>"Видача довідки про реєстрацію місця проживання померлого,  у тому числі про поживаючих разом з померлим за однією адресою"</f>
        <v>Видача довідки про реєстрацію місця проживання померлого,  у тому числі про поживаючих разом з померлим за однією адресою</v>
      </c>
      <c r="E2500" s="1" t="s">
        <v>20</v>
      </c>
      <c r="F2500" s="1" t="str">
        <f t="shared" si="345"/>
        <v>Центр надання адміністративних послуг Рогатинської міської ради</v>
      </c>
      <c r="G2500" s="1" t="str">
        <f t="shared" ref="G2500:G2529" si="350">"Юридична особа"</f>
        <v>Юридична особа</v>
      </c>
      <c r="H2500" s="1" t="str">
        <f>"Приватний нотаріус Дзера Маряна Любомирівна"</f>
        <v>Приватний нотаріус Дзера Маряна Любомирівна</v>
      </c>
      <c r="I2500" s="1" t="s">
        <v>20</v>
      </c>
      <c r="J2500" s="1" t="str">
        <f>"Закрито"</f>
        <v>Закрито</v>
      </c>
      <c r="K2500" s="5">
        <v>45621</v>
      </c>
      <c r="L2500" s="1" t="s">
        <v>20</v>
      </c>
      <c r="M2500" s="1" t="s">
        <v>22</v>
      </c>
      <c r="N2500" s="5">
        <v>45621</v>
      </c>
    </row>
    <row r="2501" spans="1:14" x14ac:dyDescent="0.3">
      <c r="A2501" s="1" t="str">
        <f>"2_2058/2129-11/2024/Р"</f>
        <v>2_2058/2129-11/2024/Р</v>
      </c>
      <c r="B2501" s="6">
        <v>45621</v>
      </c>
      <c r="C2501" s="1" t="str">
        <f t="shared" ref="C2501:C2529" si="351">"00041"</f>
        <v>00041</v>
      </c>
      <c r="D2501" s="2" t="str">
        <f t="shared" ref="D2501:D2529" si="352"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01" s="1" t="s">
        <v>20</v>
      </c>
      <c r="F2501" s="1" t="str">
        <f t="shared" si="345"/>
        <v>Центр надання адміністративних послуг Рогатинської міської ради</v>
      </c>
      <c r="G2501" s="1" t="str">
        <f t="shared" si="350"/>
        <v>Юридична особа</v>
      </c>
      <c r="H2501" s="1" t="str">
        <f t="shared" ref="H2501:H2529" si="353">"РОГАТИНСЬКА МІСЬКА РАДА"</f>
        <v>РОГАТИНСЬКА МІСЬКА РАДА</v>
      </c>
      <c r="I2501" s="1" t="str">
        <f t="shared" ref="I2501:I2529" si="354">"04054323"</f>
        <v>04054323</v>
      </c>
      <c r="J2501" s="1" t="str">
        <f t="shared" ref="J2501:J2525" si="355">"Зареєстрований"</f>
        <v>Зареєстрований</v>
      </c>
      <c r="K2501" s="1" t="s">
        <v>20</v>
      </c>
      <c r="L2501" s="1" t="s">
        <v>20</v>
      </c>
      <c r="M2501" s="1" t="s">
        <v>22</v>
      </c>
      <c r="N2501" s="1" t="s">
        <v>20</v>
      </c>
    </row>
    <row r="2502" spans="1:14" x14ac:dyDescent="0.3">
      <c r="A2502" s="1" t="str">
        <f>"2_2059/2129-11/2024/Р"</f>
        <v>2_2059/2129-11/2024/Р</v>
      </c>
      <c r="B2502" s="6">
        <v>45621</v>
      </c>
      <c r="C2502" s="1" t="str">
        <f t="shared" si="351"/>
        <v>00041</v>
      </c>
      <c r="D2502" s="2" t="str">
        <f t="shared" si="35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02" s="1" t="s">
        <v>20</v>
      </c>
      <c r="F2502" s="1" t="str">
        <f t="shared" si="345"/>
        <v>Центр надання адміністративних послуг Рогатинської міської ради</v>
      </c>
      <c r="G2502" s="1" t="str">
        <f t="shared" si="350"/>
        <v>Юридична особа</v>
      </c>
      <c r="H2502" s="1" t="str">
        <f t="shared" si="353"/>
        <v>РОГАТИНСЬКА МІСЬКА РАДА</v>
      </c>
      <c r="I2502" s="1" t="str">
        <f t="shared" si="354"/>
        <v>04054323</v>
      </c>
      <c r="J2502" s="1" t="str">
        <f t="shared" si="355"/>
        <v>Зареєстрований</v>
      </c>
      <c r="K2502" s="1" t="s">
        <v>20</v>
      </c>
      <c r="L2502" s="1" t="s">
        <v>20</v>
      </c>
      <c r="M2502" s="1" t="s">
        <v>22</v>
      </c>
      <c r="N2502" s="1" t="s">
        <v>20</v>
      </c>
    </row>
    <row r="2503" spans="1:14" x14ac:dyDescent="0.3">
      <c r="A2503" s="1" t="str">
        <f>"2_2060/2129-11/2024/Р"</f>
        <v>2_2060/2129-11/2024/Р</v>
      </c>
      <c r="B2503" s="6">
        <v>45621</v>
      </c>
      <c r="C2503" s="1" t="str">
        <f t="shared" si="351"/>
        <v>00041</v>
      </c>
      <c r="D2503" s="2" t="str">
        <f t="shared" si="35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03" s="1" t="s">
        <v>20</v>
      </c>
      <c r="F2503" s="1" t="str">
        <f t="shared" si="345"/>
        <v>Центр надання адміністративних послуг Рогатинської міської ради</v>
      </c>
      <c r="G2503" s="1" t="str">
        <f t="shared" si="350"/>
        <v>Юридична особа</v>
      </c>
      <c r="H2503" s="1" t="str">
        <f t="shared" si="353"/>
        <v>РОГАТИНСЬКА МІСЬКА РАДА</v>
      </c>
      <c r="I2503" s="1" t="str">
        <f t="shared" si="354"/>
        <v>04054323</v>
      </c>
      <c r="J2503" s="1" t="str">
        <f t="shared" si="355"/>
        <v>Зареєстрований</v>
      </c>
      <c r="K2503" s="1" t="s">
        <v>20</v>
      </c>
      <c r="L2503" s="1" t="s">
        <v>20</v>
      </c>
      <c r="M2503" s="1" t="s">
        <v>22</v>
      </c>
      <c r="N2503" s="1" t="s">
        <v>20</v>
      </c>
    </row>
    <row r="2504" spans="1:14" x14ac:dyDescent="0.3">
      <c r="A2504" s="1" t="str">
        <f>"2_2061/2129-11/2024/Р"</f>
        <v>2_2061/2129-11/2024/Р</v>
      </c>
      <c r="B2504" s="6">
        <v>45621</v>
      </c>
      <c r="C2504" s="1" t="str">
        <f t="shared" si="351"/>
        <v>00041</v>
      </c>
      <c r="D2504" s="2" t="str">
        <f t="shared" si="35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04" s="1" t="s">
        <v>20</v>
      </c>
      <c r="F2504" s="1" t="str">
        <f t="shared" si="345"/>
        <v>Центр надання адміністративних послуг Рогатинської міської ради</v>
      </c>
      <c r="G2504" s="1" t="str">
        <f t="shared" si="350"/>
        <v>Юридична особа</v>
      </c>
      <c r="H2504" s="1" t="str">
        <f t="shared" si="353"/>
        <v>РОГАТИНСЬКА МІСЬКА РАДА</v>
      </c>
      <c r="I2504" s="1" t="str">
        <f t="shared" si="354"/>
        <v>04054323</v>
      </c>
      <c r="J2504" s="1" t="str">
        <f t="shared" si="355"/>
        <v>Зареєстрований</v>
      </c>
      <c r="K2504" s="1" t="s">
        <v>20</v>
      </c>
      <c r="L2504" s="1" t="s">
        <v>20</v>
      </c>
      <c r="M2504" s="1" t="s">
        <v>22</v>
      </c>
      <c r="N2504" s="1" t="s">
        <v>20</v>
      </c>
    </row>
    <row r="2505" spans="1:14" x14ac:dyDescent="0.3">
      <c r="A2505" s="1" t="str">
        <f>"2_2062/2129-11/2024/Р"</f>
        <v>2_2062/2129-11/2024/Р</v>
      </c>
      <c r="B2505" s="6">
        <v>45621</v>
      </c>
      <c r="C2505" s="1" t="str">
        <f t="shared" si="351"/>
        <v>00041</v>
      </c>
      <c r="D2505" s="2" t="str">
        <f t="shared" si="35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05" s="1" t="s">
        <v>20</v>
      </c>
      <c r="F2505" s="1" t="str">
        <f t="shared" si="345"/>
        <v>Центр надання адміністративних послуг Рогатинської міської ради</v>
      </c>
      <c r="G2505" s="1" t="str">
        <f t="shared" si="350"/>
        <v>Юридична особа</v>
      </c>
      <c r="H2505" s="1" t="str">
        <f t="shared" si="353"/>
        <v>РОГАТИНСЬКА МІСЬКА РАДА</v>
      </c>
      <c r="I2505" s="1" t="str">
        <f t="shared" si="354"/>
        <v>04054323</v>
      </c>
      <c r="J2505" s="1" t="str">
        <f t="shared" si="355"/>
        <v>Зареєстрований</v>
      </c>
      <c r="K2505" s="1" t="s">
        <v>20</v>
      </c>
      <c r="L2505" s="1" t="s">
        <v>20</v>
      </c>
      <c r="M2505" s="1" t="s">
        <v>22</v>
      </c>
      <c r="N2505" s="1" t="s">
        <v>20</v>
      </c>
    </row>
    <row r="2506" spans="1:14" x14ac:dyDescent="0.3">
      <c r="A2506" s="1" t="str">
        <f>"2_2063/2129-11/2024/Р"</f>
        <v>2_2063/2129-11/2024/Р</v>
      </c>
      <c r="B2506" s="6">
        <v>45621</v>
      </c>
      <c r="C2506" s="1" t="str">
        <f t="shared" si="351"/>
        <v>00041</v>
      </c>
      <c r="D2506" s="2" t="str">
        <f t="shared" si="35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06" s="1" t="s">
        <v>20</v>
      </c>
      <c r="F2506" s="1" t="str">
        <f t="shared" si="345"/>
        <v>Центр надання адміністративних послуг Рогатинської міської ради</v>
      </c>
      <c r="G2506" s="1" t="str">
        <f t="shared" si="350"/>
        <v>Юридична особа</v>
      </c>
      <c r="H2506" s="1" t="str">
        <f t="shared" si="353"/>
        <v>РОГАТИНСЬКА МІСЬКА РАДА</v>
      </c>
      <c r="I2506" s="1" t="str">
        <f t="shared" si="354"/>
        <v>04054323</v>
      </c>
      <c r="J2506" s="1" t="str">
        <f t="shared" si="355"/>
        <v>Зареєстрований</v>
      </c>
      <c r="K2506" s="1" t="s">
        <v>20</v>
      </c>
      <c r="L2506" s="1" t="s">
        <v>20</v>
      </c>
      <c r="M2506" s="1" t="s">
        <v>22</v>
      </c>
      <c r="N2506" s="1" t="s">
        <v>20</v>
      </c>
    </row>
    <row r="2507" spans="1:14" x14ac:dyDescent="0.3">
      <c r="A2507" s="1" t="str">
        <f>"2_2064/2129-11/2024/Р"</f>
        <v>2_2064/2129-11/2024/Р</v>
      </c>
      <c r="B2507" s="6">
        <v>45621</v>
      </c>
      <c r="C2507" s="1" t="str">
        <f t="shared" si="351"/>
        <v>00041</v>
      </c>
      <c r="D2507" s="2" t="str">
        <f t="shared" si="35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07" s="1" t="s">
        <v>20</v>
      </c>
      <c r="F2507" s="1" t="str">
        <f t="shared" si="345"/>
        <v>Центр надання адміністративних послуг Рогатинської міської ради</v>
      </c>
      <c r="G2507" s="1" t="str">
        <f t="shared" si="350"/>
        <v>Юридична особа</v>
      </c>
      <c r="H2507" s="1" t="str">
        <f t="shared" si="353"/>
        <v>РОГАТИНСЬКА МІСЬКА РАДА</v>
      </c>
      <c r="I2507" s="1" t="str">
        <f t="shared" si="354"/>
        <v>04054323</v>
      </c>
      <c r="J2507" s="1" t="str">
        <f t="shared" si="355"/>
        <v>Зареєстрований</v>
      </c>
      <c r="K2507" s="1" t="s">
        <v>20</v>
      </c>
      <c r="L2507" s="1" t="s">
        <v>20</v>
      </c>
      <c r="M2507" s="1" t="s">
        <v>22</v>
      </c>
      <c r="N2507" s="1" t="s">
        <v>20</v>
      </c>
    </row>
    <row r="2508" spans="1:14" x14ac:dyDescent="0.3">
      <c r="A2508" s="1" t="str">
        <f>"2_2065/2129-11/2024/Р"</f>
        <v>2_2065/2129-11/2024/Р</v>
      </c>
      <c r="B2508" s="6">
        <v>45621</v>
      </c>
      <c r="C2508" s="1" t="str">
        <f t="shared" si="351"/>
        <v>00041</v>
      </c>
      <c r="D2508" s="2" t="str">
        <f t="shared" si="35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08" s="1" t="s">
        <v>20</v>
      </c>
      <c r="F2508" s="1" t="str">
        <f t="shared" si="345"/>
        <v>Центр надання адміністративних послуг Рогатинської міської ради</v>
      </c>
      <c r="G2508" s="1" t="str">
        <f t="shared" si="350"/>
        <v>Юридична особа</v>
      </c>
      <c r="H2508" s="1" t="str">
        <f t="shared" si="353"/>
        <v>РОГАТИНСЬКА МІСЬКА РАДА</v>
      </c>
      <c r="I2508" s="1" t="str">
        <f t="shared" si="354"/>
        <v>04054323</v>
      </c>
      <c r="J2508" s="1" t="str">
        <f t="shared" si="355"/>
        <v>Зареєстрований</v>
      </c>
      <c r="K2508" s="1" t="s">
        <v>20</v>
      </c>
      <c r="L2508" s="1" t="s">
        <v>20</v>
      </c>
      <c r="M2508" s="1" t="s">
        <v>22</v>
      </c>
      <c r="N2508" s="1" t="s">
        <v>20</v>
      </c>
    </row>
    <row r="2509" spans="1:14" x14ac:dyDescent="0.3">
      <c r="A2509" s="1" t="str">
        <f>"2_2066/2129-11/2024/Р"</f>
        <v>2_2066/2129-11/2024/Р</v>
      </c>
      <c r="B2509" s="6">
        <v>45621</v>
      </c>
      <c r="C2509" s="1" t="str">
        <f t="shared" si="351"/>
        <v>00041</v>
      </c>
      <c r="D2509" s="2" t="str">
        <f t="shared" si="35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09" s="1" t="s">
        <v>20</v>
      </c>
      <c r="F2509" s="1" t="str">
        <f t="shared" si="345"/>
        <v>Центр надання адміністративних послуг Рогатинської міської ради</v>
      </c>
      <c r="G2509" s="1" t="str">
        <f t="shared" si="350"/>
        <v>Юридична особа</v>
      </c>
      <c r="H2509" s="1" t="str">
        <f t="shared" si="353"/>
        <v>РОГАТИНСЬКА МІСЬКА РАДА</v>
      </c>
      <c r="I2509" s="1" t="str">
        <f t="shared" si="354"/>
        <v>04054323</v>
      </c>
      <c r="J2509" s="1" t="str">
        <f t="shared" si="355"/>
        <v>Зареєстрований</v>
      </c>
      <c r="K2509" s="1" t="s">
        <v>20</v>
      </c>
      <c r="L2509" s="1" t="s">
        <v>20</v>
      </c>
      <c r="M2509" s="1" t="s">
        <v>22</v>
      </c>
      <c r="N2509" s="1" t="s">
        <v>20</v>
      </c>
    </row>
    <row r="2510" spans="1:14" x14ac:dyDescent="0.3">
      <c r="A2510" s="1" t="str">
        <f>"2_2067/2129-11/2024/Р"</f>
        <v>2_2067/2129-11/2024/Р</v>
      </c>
      <c r="B2510" s="6">
        <v>45621</v>
      </c>
      <c r="C2510" s="1" t="str">
        <f t="shared" si="351"/>
        <v>00041</v>
      </c>
      <c r="D2510" s="2" t="str">
        <f t="shared" si="35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10" s="1" t="s">
        <v>20</v>
      </c>
      <c r="F2510" s="1" t="str">
        <f t="shared" si="345"/>
        <v>Центр надання адміністративних послуг Рогатинської міської ради</v>
      </c>
      <c r="G2510" s="1" t="str">
        <f t="shared" si="350"/>
        <v>Юридична особа</v>
      </c>
      <c r="H2510" s="1" t="str">
        <f t="shared" si="353"/>
        <v>РОГАТИНСЬКА МІСЬКА РАДА</v>
      </c>
      <c r="I2510" s="1" t="str">
        <f t="shared" si="354"/>
        <v>04054323</v>
      </c>
      <c r="J2510" s="1" t="str">
        <f t="shared" si="355"/>
        <v>Зареєстрований</v>
      </c>
      <c r="K2510" s="1" t="s">
        <v>20</v>
      </c>
      <c r="L2510" s="1" t="s">
        <v>20</v>
      </c>
      <c r="M2510" s="1" t="s">
        <v>22</v>
      </c>
      <c r="N2510" s="1" t="s">
        <v>20</v>
      </c>
    </row>
    <row r="2511" spans="1:14" x14ac:dyDescent="0.3">
      <c r="A2511" s="1" t="str">
        <f>"2_2068/2129-11/2024/Р"</f>
        <v>2_2068/2129-11/2024/Р</v>
      </c>
      <c r="B2511" s="6">
        <v>45621</v>
      </c>
      <c r="C2511" s="1" t="str">
        <f t="shared" si="351"/>
        <v>00041</v>
      </c>
      <c r="D2511" s="2" t="str">
        <f t="shared" si="35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11" s="1" t="s">
        <v>20</v>
      </c>
      <c r="F2511" s="1" t="str">
        <f t="shared" ref="F2511:F2545" si="356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11" s="1" t="str">
        <f t="shared" si="350"/>
        <v>Юридична особа</v>
      </c>
      <c r="H2511" s="1" t="str">
        <f t="shared" si="353"/>
        <v>РОГАТИНСЬКА МІСЬКА РАДА</v>
      </c>
      <c r="I2511" s="1" t="str">
        <f t="shared" si="354"/>
        <v>04054323</v>
      </c>
      <c r="J2511" s="1" t="str">
        <f t="shared" si="355"/>
        <v>Зареєстрований</v>
      </c>
      <c r="K2511" s="1" t="s">
        <v>20</v>
      </c>
      <c r="L2511" s="1" t="s">
        <v>20</v>
      </c>
      <c r="M2511" s="1" t="s">
        <v>22</v>
      </c>
      <c r="N2511" s="1" t="s">
        <v>20</v>
      </c>
    </row>
    <row r="2512" spans="1:14" x14ac:dyDescent="0.3">
      <c r="A2512" s="1" t="str">
        <f>"2_2069/2129-11/2024/Р"</f>
        <v>2_2069/2129-11/2024/Р</v>
      </c>
      <c r="B2512" s="6">
        <v>45621</v>
      </c>
      <c r="C2512" s="1" t="str">
        <f t="shared" si="351"/>
        <v>00041</v>
      </c>
      <c r="D2512" s="2" t="str">
        <f t="shared" si="35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12" s="1" t="s">
        <v>20</v>
      </c>
      <c r="F2512" s="1" t="str">
        <f t="shared" si="356"/>
        <v>Центр надання адміністративних послуг Рогатинської міської ради</v>
      </c>
      <c r="G2512" s="1" t="str">
        <f t="shared" si="350"/>
        <v>Юридична особа</v>
      </c>
      <c r="H2512" s="1" t="str">
        <f t="shared" si="353"/>
        <v>РОГАТИНСЬКА МІСЬКА РАДА</v>
      </c>
      <c r="I2512" s="1" t="str">
        <f t="shared" si="354"/>
        <v>04054323</v>
      </c>
      <c r="J2512" s="1" t="str">
        <f t="shared" si="355"/>
        <v>Зареєстрований</v>
      </c>
      <c r="K2512" s="1" t="s">
        <v>20</v>
      </c>
      <c r="L2512" s="1" t="s">
        <v>20</v>
      </c>
      <c r="M2512" s="1" t="s">
        <v>22</v>
      </c>
      <c r="N2512" s="1" t="s">
        <v>20</v>
      </c>
    </row>
    <row r="2513" spans="1:14" x14ac:dyDescent="0.3">
      <c r="A2513" s="1" t="str">
        <f>"2_2070/2129-11/2024/Р"</f>
        <v>2_2070/2129-11/2024/Р</v>
      </c>
      <c r="B2513" s="6">
        <v>45621</v>
      </c>
      <c r="C2513" s="1" t="str">
        <f t="shared" si="351"/>
        <v>00041</v>
      </c>
      <c r="D2513" s="2" t="str">
        <f t="shared" si="35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13" s="1" t="s">
        <v>20</v>
      </c>
      <c r="F2513" s="1" t="str">
        <f t="shared" si="356"/>
        <v>Центр надання адміністративних послуг Рогатинської міської ради</v>
      </c>
      <c r="G2513" s="1" t="str">
        <f t="shared" si="350"/>
        <v>Юридична особа</v>
      </c>
      <c r="H2513" s="1" t="str">
        <f t="shared" si="353"/>
        <v>РОГАТИНСЬКА МІСЬКА РАДА</v>
      </c>
      <c r="I2513" s="1" t="str">
        <f t="shared" si="354"/>
        <v>04054323</v>
      </c>
      <c r="J2513" s="1" t="str">
        <f t="shared" si="355"/>
        <v>Зареєстрований</v>
      </c>
      <c r="K2513" s="1" t="s">
        <v>20</v>
      </c>
      <c r="L2513" s="1" t="s">
        <v>20</v>
      </c>
      <c r="M2513" s="1" t="s">
        <v>22</v>
      </c>
      <c r="N2513" s="1" t="s">
        <v>20</v>
      </c>
    </row>
    <row r="2514" spans="1:14" x14ac:dyDescent="0.3">
      <c r="A2514" s="1" t="str">
        <f>"2_2071/2129-11/2024/Р"</f>
        <v>2_2071/2129-11/2024/Р</v>
      </c>
      <c r="B2514" s="6">
        <v>45621</v>
      </c>
      <c r="C2514" s="1" t="str">
        <f t="shared" si="351"/>
        <v>00041</v>
      </c>
      <c r="D2514" s="2" t="str">
        <f t="shared" si="35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14" s="1" t="s">
        <v>20</v>
      </c>
      <c r="F2514" s="1" t="str">
        <f t="shared" si="356"/>
        <v>Центр надання адміністративних послуг Рогатинської міської ради</v>
      </c>
      <c r="G2514" s="1" t="str">
        <f t="shared" si="350"/>
        <v>Юридична особа</v>
      </c>
      <c r="H2514" s="1" t="str">
        <f t="shared" si="353"/>
        <v>РОГАТИНСЬКА МІСЬКА РАДА</v>
      </c>
      <c r="I2514" s="1" t="str">
        <f t="shared" si="354"/>
        <v>04054323</v>
      </c>
      <c r="J2514" s="1" t="str">
        <f t="shared" si="355"/>
        <v>Зареєстрований</v>
      </c>
      <c r="K2514" s="1" t="s">
        <v>20</v>
      </c>
      <c r="L2514" s="1" t="s">
        <v>20</v>
      </c>
      <c r="M2514" s="1" t="s">
        <v>22</v>
      </c>
      <c r="N2514" s="1" t="s">
        <v>20</v>
      </c>
    </row>
    <row r="2515" spans="1:14" x14ac:dyDescent="0.3">
      <c r="A2515" s="1" t="str">
        <f>"2_2072/2129-11/2024/Р"</f>
        <v>2_2072/2129-11/2024/Р</v>
      </c>
      <c r="B2515" s="6">
        <v>45621</v>
      </c>
      <c r="C2515" s="1" t="str">
        <f t="shared" si="351"/>
        <v>00041</v>
      </c>
      <c r="D2515" s="2" t="str">
        <f t="shared" si="35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15" s="1" t="s">
        <v>20</v>
      </c>
      <c r="F2515" s="1" t="str">
        <f t="shared" si="356"/>
        <v>Центр надання адміністративних послуг Рогатинської міської ради</v>
      </c>
      <c r="G2515" s="1" t="str">
        <f t="shared" si="350"/>
        <v>Юридична особа</v>
      </c>
      <c r="H2515" s="1" t="str">
        <f t="shared" si="353"/>
        <v>РОГАТИНСЬКА МІСЬКА РАДА</v>
      </c>
      <c r="I2515" s="1" t="str">
        <f t="shared" si="354"/>
        <v>04054323</v>
      </c>
      <c r="J2515" s="1" t="str">
        <f t="shared" si="355"/>
        <v>Зареєстрований</v>
      </c>
      <c r="K2515" s="1" t="s">
        <v>20</v>
      </c>
      <c r="L2515" s="1" t="s">
        <v>20</v>
      </c>
      <c r="M2515" s="1" t="s">
        <v>22</v>
      </c>
      <c r="N2515" s="1" t="s">
        <v>20</v>
      </c>
    </row>
    <row r="2516" spans="1:14" x14ac:dyDescent="0.3">
      <c r="A2516" s="1" t="str">
        <f>"3_1424/2129-11/2024/Р"</f>
        <v>3_1424/2129-11/2024/Р</v>
      </c>
      <c r="B2516" s="6">
        <v>45621</v>
      </c>
      <c r="C2516" s="1" t="str">
        <f t="shared" si="351"/>
        <v>00041</v>
      </c>
      <c r="D2516" s="2" t="str">
        <f t="shared" si="35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16" s="1" t="s">
        <v>20</v>
      </c>
      <c r="F2516" s="1" t="str">
        <f t="shared" si="356"/>
        <v>Центр надання адміністративних послуг Рогатинської міської ради</v>
      </c>
      <c r="G2516" s="1" t="str">
        <f t="shared" si="350"/>
        <v>Юридична особа</v>
      </c>
      <c r="H2516" s="1" t="str">
        <f t="shared" si="353"/>
        <v>РОГАТИНСЬКА МІСЬКА РАДА</v>
      </c>
      <c r="I2516" s="1" t="str">
        <f t="shared" si="354"/>
        <v>04054323</v>
      </c>
      <c r="J2516" s="1" t="str">
        <f t="shared" si="355"/>
        <v>Зареєстрований</v>
      </c>
      <c r="K2516" s="1" t="s">
        <v>20</v>
      </c>
      <c r="L2516" s="1" t="s">
        <v>20</v>
      </c>
      <c r="M2516" s="1" t="s">
        <v>22</v>
      </c>
      <c r="N2516" s="1" t="s">
        <v>20</v>
      </c>
    </row>
    <row r="2517" spans="1:14" x14ac:dyDescent="0.3">
      <c r="A2517" s="1" t="str">
        <f>"2_2073/2129-11/2024/Р"</f>
        <v>2_2073/2129-11/2024/Р</v>
      </c>
      <c r="B2517" s="6">
        <v>45621</v>
      </c>
      <c r="C2517" s="1" t="str">
        <f t="shared" si="351"/>
        <v>00041</v>
      </c>
      <c r="D2517" s="2" t="str">
        <f t="shared" si="35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17" s="1" t="s">
        <v>20</v>
      </c>
      <c r="F2517" s="1" t="str">
        <f t="shared" si="356"/>
        <v>Центр надання адміністративних послуг Рогатинської міської ради</v>
      </c>
      <c r="G2517" s="1" t="str">
        <f t="shared" si="350"/>
        <v>Юридична особа</v>
      </c>
      <c r="H2517" s="1" t="str">
        <f t="shared" si="353"/>
        <v>РОГАТИНСЬКА МІСЬКА РАДА</v>
      </c>
      <c r="I2517" s="1" t="str">
        <f t="shared" si="354"/>
        <v>04054323</v>
      </c>
      <c r="J2517" s="1" t="str">
        <f t="shared" si="355"/>
        <v>Зареєстрований</v>
      </c>
      <c r="K2517" s="1" t="s">
        <v>20</v>
      </c>
      <c r="L2517" s="1" t="s">
        <v>20</v>
      </c>
      <c r="M2517" s="1" t="s">
        <v>22</v>
      </c>
      <c r="N2517" s="1" t="s">
        <v>20</v>
      </c>
    </row>
    <row r="2518" spans="1:14" x14ac:dyDescent="0.3">
      <c r="A2518" s="1" t="str">
        <f>"2_2074/2129-11/2024/Р"</f>
        <v>2_2074/2129-11/2024/Р</v>
      </c>
      <c r="B2518" s="6">
        <v>45621</v>
      </c>
      <c r="C2518" s="1" t="str">
        <f t="shared" si="351"/>
        <v>00041</v>
      </c>
      <c r="D2518" s="2" t="str">
        <f t="shared" si="35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18" s="1" t="s">
        <v>20</v>
      </c>
      <c r="F2518" s="1" t="str">
        <f t="shared" si="356"/>
        <v>Центр надання адміністративних послуг Рогатинської міської ради</v>
      </c>
      <c r="G2518" s="1" t="str">
        <f t="shared" si="350"/>
        <v>Юридична особа</v>
      </c>
      <c r="H2518" s="1" t="str">
        <f t="shared" si="353"/>
        <v>РОГАТИНСЬКА МІСЬКА РАДА</v>
      </c>
      <c r="I2518" s="1" t="str">
        <f t="shared" si="354"/>
        <v>04054323</v>
      </c>
      <c r="J2518" s="1" t="str">
        <f t="shared" si="355"/>
        <v>Зареєстрований</v>
      </c>
      <c r="K2518" s="1" t="s">
        <v>20</v>
      </c>
      <c r="L2518" s="1" t="s">
        <v>20</v>
      </c>
      <c r="M2518" s="1" t="s">
        <v>22</v>
      </c>
      <c r="N2518" s="1" t="s">
        <v>20</v>
      </c>
    </row>
    <row r="2519" spans="1:14" x14ac:dyDescent="0.3">
      <c r="A2519" s="1" t="str">
        <f>"2_2075/2129-11/2024/Р"</f>
        <v>2_2075/2129-11/2024/Р</v>
      </c>
      <c r="B2519" s="6">
        <v>45621</v>
      </c>
      <c r="C2519" s="1" t="str">
        <f t="shared" si="351"/>
        <v>00041</v>
      </c>
      <c r="D2519" s="2" t="str">
        <f t="shared" si="35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19" s="1" t="s">
        <v>20</v>
      </c>
      <c r="F2519" s="1" t="str">
        <f t="shared" si="356"/>
        <v>Центр надання адміністративних послуг Рогатинської міської ради</v>
      </c>
      <c r="G2519" s="1" t="str">
        <f t="shared" si="350"/>
        <v>Юридична особа</v>
      </c>
      <c r="H2519" s="1" t="str">
        <f t="shared" si="353"/>
        <v>РОГАТИНСЬКА МІСЬКА РАДА</v>
      </c>
      <c r="I2519" s="1" t="str">
        <f t="shared" si="354"/>
        <v>04054323</v>
      </c>
      <c r="J2519" s="1" t="str">
        <f t="shared" si="355"/>
        <v>Зареєстрований</v>
      </c>
      <c r="K2519" s="1" t="s">
        <v>20</v>
      </c>
      <c r="L2519" s="1" t="s">
        <v>20</v>
      </c>
      <c r="M2519" s="1" t="s">
        <v>22</v>
      </c>
      <c r="N2519" s="1" t="s">
        <v>20</v>
      </c>
    </row>
    <row r="2520" spans="1:14" x14ac:dyDescent="0.3">
      <c r="A2520" s="1" t="str">
        <f>"2_2076/2129-11/2024/Р"</f>
        <v>2_2076/2129-11/2024/Р</v>
      </c>
      <c r="B2520" s="6">
        <v>45621</v>
      </c>
      <c r="C2520" s="1" t="str">
        <f t="shared" si="351"/>
        <v>00041</v>
      </c>
      <c r="D2520" s="2" t="str">
        <f t="shared" si="35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20" s="1" t="s">
        <v>20</v>
      </c>
      <c r="F2520" s="1" t="str">
        <f t="shared" si="356"/>
        <v>Центр надання адміністративних послуг Рогатинської міської ради</v>
      </c>
      <c r="G2520" s="1" t="str">
        <f t="shared" si="350"/>
        <v>Юридична особа</v>
      </c>
      <c r="H2520" s="1" t="str">
        <f t="shared" si="353"/>
        <v>РОГАТИНСЬКА МІСЬКА РАДА</v>
      </c>
      <c r="I2520" s="1" t="str">
        <f t="shared" si="354"/>
        <v>04054323</v>
      </c>
      <c r="J2520" s="1" t="str">
        <f t="shared" si="355"/>
        <v>Зареєстрований</v>
      </c>
      <c r="K2520" s="1" t="s">
        <v>20</v>
      </c>
      <c r="L2520" s="1" t="s">
        <v>20</v>
      </c>
      <c r="M2520" s="1" t="s">
        <v>22</v>
      </c>
      <c r="N2520" s="1" t="s">
        <v>20</v>
      </c>
    </row>
    <row r="2521" spans="1:14" x14ac:dyDescent="0.3">
      <c r="A2521" s="1" t="str">
        <f>"2_2077/2129-11/2024/Р"</f>
        <v>2_2077/2129-11/2024/Р</v>
      </c>
      <c r="B2521" s="6">
        <v>45621</v>
      </c>
      <c r="C2521" s="1" t="str">
        <f t="shared" si="351"/>
        <v>00041</v>
      </c>
      <c r="D2521" s="2" t="str">
        <f t="shared" si="35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21" s="1" t="s">
        <v>20</v>
      </c>
      <c r="F2521" s="1" t="str">
        <f t="shared" si="356"/>
        <v>Центр надання адміністративних послуг Рогатинської міської ради</v>
      </c>
      <c r="G2521" s="1" t="str">
        <f t="shared" si="350"/>
        <v>Юридична особа</v>
      </c>
      <c r="H2521" s="1" t="str">
        <f t="shared" si="353"/>
        <v>РОГАТИНСЬКА МІСЬКА РАДА</v>
      </c>
      <c r="I2521" s="1" t="str">
        <f t="shared" si="354"/>
        <v>04054323</v>
      </c>
      <c r="J2521" s="1" t="str">
        <f t="shared" si="355"/>
        <v>Зареєстрований</v>
      </c>
      <c r="K2521" s="1" t="s">
        <v>20</v>
      </c>
      <c r="L2521" s="1" t="s">
        <v>20</v>
      </c>
      <c r="M2521" s="1" t="s">
        <v>22</v>
      </c>
      <c r="N2521" s="1" t="s">
        <v>20</v>
      </c>
    </row>
    <row r="2522" spans="1:14" x14ac:dyDescent="0.3">
      <c r="A2522" s="1" t="str">
        <f>"2_2078/2129-11/2024/Р"</f>
        <v>2_2078/2129-11/2024/Р</v>
      </c>
      <c r="B2522" s="6">
        <v>45621</v>
      </c>
      <c r="C2522" s="1" t="str">
        <f t="shared" si="351"/>
        <v>00041</v>
      </c>
      <c r="D2522" s="2" t="str">
        <f t="shared" si="35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22" s="1" t="s">
        <v>20</v>
      </c>
      <c r="F2522" s="1" t="str">
        <f t="shared" si="356"/>
        <v>Центр надання адміністративних послуг Рогатинської міської ради</v>
      </c>
      <c r="G2522" s="1" t="str">
        <f t="shared" si="350"/>
        <v>Юридична особа</v>
      </c>
      <c r="H2522" s="1" t="str">
        <f t="shared" si="353"/>
        <v>РОГАТИНСЬКА МІСЬКА РАДА</v>
      </c>
      <c r="I2522" s="1" t="str">
        <f t="shared" si="354"/>
        <v>04054323</v>
      </c>
      <c r="J2522" s="1" t="str">
        <f t="shared" si="355"/>
        <v>Зареєстрований</v>
      </c>
      <c r="K2522" s="1" t="s">
        <v>20</v>
      </c>
      <c r="L2522" s="1" t="s">
        <v>20</v>
      </c>
      <c r="M2522" s="1" t="s">
        <v>22</v>
      </c>
      <c r="N2522" s="1" t="s">
        <v>20</v>
      </c>
    </row>
    <row r="2523" spans="1:14" x14ac:dyDescent="0.3">
      <c r="A2523" s="1" t="str">
        <f>"2_2079/2129-11/2024/Р"</f>
        <v>2_2079/2129-11/2024/Р</v>
      </c>
      <c r="B2523" s="6">
        <v>45621</v>
      </c>
      <c r="C2523" s="1" t="str">
        <f t="shared" si="351"/>
        <v>00041</v>
      </c>
      <c r="D2523" s="2" t="str">
        <f t="shared" si="35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23" s="1" t="s">
        <v>20</v>
      </c>
      <c r="F2523" s="1" t="str">
        <f t="shared" si="356"/>
        <v>Центр надання адміністративних послуг Рогатинської міської ради</v>
      </c>
      <c r="G2523" s="1" t="str">
        <f t="shared" si="350"/>
        <v>Юридична особа</v>
      </c>
      <c r="H2523" s="1" t="str">
        <f t="shared" si="353"/>
        <v>РОГАТИНСЬКА МІСЬКА РАДА</v>
      </c>
      <c r="I2523" s="1" t="str">
        <f t="shared" si="354"/>
        <v>04054323</v>
      </c>
      <c r="J2523" s="1" t="str">
        <f t="shared" si="355"/>
        <v>Зареєстрований</v>
      </c>
      <c r="K2523" s="1" t="s">
        <v>20</v>
      </c>
      <c r="L2523" s="1" t="s">
        <v>20</v>
      </c>
      <c r="M2523" s="1" t="s">
        <v>22</v>
      </c>
      <c r="N2523" s="1" t="s">
        <v>20</v>
      </c>
    </row>
    <row r="2524" spans="1:14" x14ac:dyDescent="0.3">
      <c r="A2524" s="1" t="str">
        <f>"2_2080/2129-11/2024/Р"</f>
        <v>2_2080/2129-11/2024/Р</v>
      </c>
      <c r="B2524" s="6">
        <v>45621</v>
      </c>
      <c r="C2524" s="1" t="str">
        <f t="shared" si="351"/>
        <v>00041</v>
      </c>
      <c r="D2524" s="2" t="str">
        <f t="shared" si="35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24" s="1" t="s">
        <v>20</v>
      </c>
      <c r="F2524" s="1" t="str">
        <f t="shared" si="356"/>
        <v>Центр надання адміністративних послуг Рогатинської міської ради</v>
      </c>
      <c r="G2524" s="1" t="str">
        <f t="shared" si="350"/>
        <v>Юридична особа</v>
      </c>
      <c r="H2524" s="1" t="str">
        <f t="shared" si="353"/>
        <v>РОГАТИНСЬКА МІСЬКА РАДА</v>
      </c>
      <c r="I2524" s="1" t="str">
        <f t="shared" si="354"/>
        <v>04054323</v>
      </c>
      <c r="J2524" s="1" t="str">
        <f t="shared" si="355"/>
        <v>Зареєстрований</v>
      </c>
      <c r="K2524" s="1" t="s">
        <v>20</v>
      </c>
      <c r="L2524" s="1" t="s">
        <v>20</v>
      </c>
      <c r="M2524" s="1" t="s">
        <v>22</v>
      </c>
      <c r="N2524" s="1" t="s">
        <v>20</v>
      </c>
    </row>
    <row r="2525" spans="1:14" x14ac:dyDescent="0.3">
      <c r="A2525" s="1" t="str">
        <f>"2_2081/2129-11/2024/Р"</f>
        <v>2_2081/2129-11/2024/Р</v>
      </c>
      <c r="B2525" s="6">
        <v>45621</v>
      </c>
      <c r="C2525" s="1" t="str">
        <f t="shared" si="351"/>
        <v>00041</v>
      </c>
      <c r="D2525" s="2" t="str">
        <f t="shared" si="35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25" s="1" t="s">
        <v>20</v>
      </c>
      <c r="F2525" s="1" t="str">
        <f t="shared" si="356"/>
        <v>Центр надання адміністративних послуг Рогатинської міської ради</v>
      </c>
      <c r="G2525" s="1" t="str">
        <f t="shared" si="350"/>
        <v>Юридична особа</v>
      </c>
      <c r="H2525" s="1" t="str">
        <f t="shared" si="353"/>
        <v>РОГАТИНСЬКА МІСЬКА РАДА</v>
      </c>
      <c r="I2525" s="1" t="str">
        <f t="shared" si="354"/>
        <v>04054323</v>
      </c>
      <c r="J2525" s="1" t="str">
        <f t="shared" si="355"/>
        <v>Зареєстрований</v>
      </c>
      <c r="K2525" s="1" t="s">
        <v>20</v>
      </c>
      <c r="L2525" s="1" t="s">
        <v>20</v>
      </c>
      <c r="M2525" s="1" t="s">
        <v>22</v>
      </c>
      <c r="N2525" s="1" t="s">
        <v>20</v>
      </c>
    </row>
    <row r="2526" spans="1:14" x14ac:dyDescent="0.3">
      <c r="A2526" s="1" t="str">
        <f>"2_2082/2129-11/2024/Р"</f>
        <v>2_2082/2129-11/2024/Р</v>
      </c>
      <c r="B2526" s="6">
        <v>45621</v>
      </c>
      <c r="C2526" s="1" t="str">
        <f t="shared" si="351"/>
        <v>00041</v>
      </c>
      <c r="D2526" s="2" t="str">
        <f t="shared" si="35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26" s="1" t="s">
        <v>20</v>
      </c>
      <c r="F2526" s="1" t="str">
        <f t="shared" si="356"/>
        <v>Центр надання адміністративних послуг Рогатинської міської ради</v>
      </c>
      <c r="G2526" s="1" t="str">
        <f t="shared" si="350"/>
        <v>Юридична особа</v>
      </c>
      <c r="H2526" s="1" t="str">
        <f t="shared" si="353"/>
        <v>РОГАТИНСЬКА МІСЬКА РАДА</v>
      </c>
      <c r="I2526" s="1" t="str">
        <f t="shared" si="354"/>
        <v>04054323</v>
      </c>
      <c r="J2526" s="1" t="str">
        <f t="shared" ref="J2526:J2568" si="357">"Закрито"</f>
        <v>Закрито</v>
      </c>
      <c r="K2526" s="5">
        <v>45621</v>
      </c>
      <c r="L2526" s="1" t="s">
        <v>20</v>
      </c>
      <c r="M2526" s="1" t="s">
        <v>22</v>
      </c>
      <c r="N2526" s="5">
        <v>45621</v>
      </c>
    </row>
    <row r="2527" spans="1:14" x14ac:dyDescent="0.3">
      <c r="A2527" s="1" t="str">
        <f>"2_2083/2129-11/2024/Р"</f>
        <v>2_2083/2129-11/2024/Р</v>
      </c>
      <c r="B2527" s="6">
        <v>45621</v>
      </c>
      <c r="C2527" s="1" t="str">
        <f t="shared" si="351"/>
        <v>00041</v>
      </c>
      <c r="D2527" s="2" t="str">
        <f t="shared" si="35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27" s="1" t="s">
        <v>20</v>
      </c>
      <c r="F2527" s="1" t="str">
        <f t="shared" si="356"/>
        <v>Центр надання адміністративних послуг Рогатинської міської ради</v>
      </c>
      <c r="G2527" s="1" t="str">
        <f t="shared" si="350"/>
        <v>Юридична особа</v>
      </c>
      <c r="H2527" s="1" t="str">
        <f t="shared" si="353"/>
        <v>РОГАТИНСЬКА МІСЬКА РАДА</v>
      </c>
      <c r="I2527" s="1" t="str">
        <f t="shared" si="354"/>
        <v>04054323</v>
      </c>
      <c r="J2527" s="1" t="str">
        <f t="shared" si="357"/>
        <v>Закрито</v>
      </c>
      <c r="K2527" s="5">
        <v>45621</v>
      </c>
      <c r="L2527" s="1" t="s">
        <v>20</v>
      </c>
      <c r="M2527" s="1" t="s">
        <v>22</v>
      </c>
      <c r="N2527" s="5">
        <v>45621</v>
      </c>
    </row>
    <row r="2528" spans="1:14" x14ac:dyDescent="0.3">
      <c r="A2528" s="1" t="str">
        <f>"2_2084/2129-11/2024/Р"</f>
        <v>2_2084/2129-11/2024/Р</v>
      </c>
      <c r="B2528" s="6">
        <v>45621</v>
      </c>
      <c r="C2528" s="1" t="str">
        <f t="shared" si="351"/>
        <v>00041</v>
      </c>
      <c r="D2528" s="2" t="str">
        <f t="shared" si="35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28" s="1" t="s">
        <v>20</v>
      </c>
      <c r="F2528" s="1" t="str">
        <f t="shared" si="356"/>
        <v>Центр надання адміністративних послуг Рогатинської міської ради</v>
      </c>
      <c r="G2528" s="1" t="str">
        <f t="shared" si="350"/>
        <v>Юридична особа</v>
      </c>
      <c r="H2528" s="1" t="str">
        <f t="shared" si="353"/>
        <v>РОГАТИНСЬКА МІСЬКА РАДА</v>
      </c>
      <c r="I2528" s="1" t="str">
        <f t="shared" si="354"/>
        <v>04054323</v>
      </c>
      <c r="J2528" s="1" t="str">
        <f t="shared" si="357"/>
        <v>Закрито</v>
      </c>
      <c r="K2528" s="5">
        <v>45621</v>
      </c>
      <c r="L2528" s="1" t="s">
        <v>20</v>
      </c>
      <c r="M2528" s="1" t="s">
        <v>22</v>
      </c>
      <c r="N2528" s="5">
        <v>45621</v>
      </c>
    </row>
    <row r="2529" spans="1:14" x14ac:dyDescent="0.3">
      <c r="A2529" s="1" t="str">
        <f>"2_2085/2129-11/2024/Р"</f>
        <v>2_2085/2129-11/2024/Р</v>
      </c>
      <c r="B2529" s="6">
        <v>45621</v>
      </c>
      <c r="C2529" s="1" t="str">
        <f t="shared" si="351"/>
        <v>00041</v>
      </c>
      <c r="D2529" s="2" t="str">
        <f t="shared" si="352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29" s="1" t="s">
        <v>20</v>
      </c>
      <c r="F2529" s="1" t="str">
        <f t="shared" si="356"/>
        <v>Центр надання адміністративних послуг Рогатинської міської ради</v>
      </c>
      <c r="G2529" s="1" t="str">
        <f t="shared" si="350"/>
        <v>Юридична особа</v>
      </c>
      <c r="H2529" s="1" t="str">
        <f t="shared" si="353"/>
        <v>РОГАТИНСЬКА МІСЬКА РАДА</v>
      </c>
      <c r="I2529" s="1" t="str">
        <f t="shared" si="354"/>
        <v>04054323</v>
      </c>
      <c r="J2529" s="1" t="str">
        <f t="shared" si="357"/>
        <v>Закрито</v>
      </c>
      <c r="K2529" s="5">
        <v>45621</v>
      </c>
      <c r="L2529" s="1" t="s">
        <v>20</v>
      </c>
      <c r="M2529" s="1" t="s">
        <v>22</v>
      </c>
      <c r="N2529" s="5">
        <v>45621</v>
      </c>
    </row>
    <row r="2530" spans="1:14" x14ac:dyDescent="0.3">
      <c r="A2530" s="1" t="str">
        <f>"3_874-11/2024/К"</f>
        <v>3_874-11/2024/К</v>
      </c>
      <c r="B2530" s="6">
        <v>45621</v>
      </c>
      <c r="C2530" s="1" t="str">
        <f>"00038"</f>
        <v>00038</v>
      </c>
      <c r="D253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530" s="1" t="s">
        <v>20</v>
      </c>
      <c r="F2530" s="1" t="str">
        <f t="shared" si="356"/>
        <v>Центр надання адміністративних послуг Рогатинської міської ради</v>
      </c>
      <c r="G2530" s="1" t="str">
        <f>"Фізична особа"</f>
        <v>Фізична особа</v>
      </c>
      <c r="H2530" s="1" t="s">
        <v>20</v>
      </c>
      <c r="I2530" s="1" t="s">
        <v>20</v>
      </c>
      <c r="J2530" s="1" t="str">
        <f t="shared" si="357"/>
        <v>Закрито</v>
      </c>
      <c r="K2530" s="5">
        <v>45621</v>
      </c>
      <c r="L2530" s="1" t="s">
        <v>20</v>
      </c>
      <c r="M2530" s="1" t="s">
        <v>22</v>
      </c>
      <c r="N2530" s="5">
        <v>45621</v>
      </c>
    </row>
    <row r="2531" spans="1:14" x14ac:dyDescent="0.3">
      <c r="A2531" s="1" t="str">
        <f>"2_2086/2129-11/2024/Р"</f>
        <v>2_2086/2129-11/2024/Р</v>
      </c>
      <c r="B2531" s="6">
        <v>45621</v>
      </c>
      <c r="C2531" s="1" t="str">
        <f>"00041"</f>
        <v>00041</v>
      </c>
      <c r="D253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31" s="1" t="s">
        <v>20</v>
      </c>
      <c r="F2531" s="1" t="str">
        <f t="shared" si="356"/>
        <v>Центр надання адміністративних послуг Рогатинської міської ради</v>
      </c>
      <c r="G2531" s="1" t="str">
        <f>"Юридична особа"</f>
        <v>Юридична особа</v>
      </c>
      <c r="H2531" s="1" t="str">
        <f>"РОГАТИНСЬКА МІСЬКА РАДА"</f>
        <v>РОГАТИНСЬКА МІСЬКА РАДА</v>
      </c>
      <c r="I2531" s="1" t="str">
        <f>"04054323"</f>
        <v>04054323</v>
      </c>
      <c r="J2531" s="1" t="str">
        <f t="shared" si="357"/>
        <v>Закрито</v>
      </c>
      <c r="K2531" s="5">
        <v>45621</v>
      </c>
      <c r="L2531" s="1" t="s">
        <v>20</v>
      </c>
      <c r="M2531" s="1" t="s">
        <v>22</v>
      </c>
      <c r="N2531" s="5">
        <v>45621</v>
      </c>
    </row>
    <row r="2532" spans="1:14" x14ac:dyDescent="0.3">
      <c r="A2532" s="1" t="str">
        <f>"2_2087/2129-11/2024/Р"</f>
        <v>2_2087/2129-11/2024/Р</v>
      </c>
      <c r="B2532" s="6">
        <v>45621</v>
      </c>
      <c r="C2532" s="1" t="str">
        <f>"00041"</f>
        <v>00041</v>
      </c>
      <c r="D253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32" s="1" t="s">
        <v>20</v>
      </c>
      <c r="F2532" s="1" t="str">
        <f t="shared" si="356"/>
        <v>Центр надання адміністративних послуг Рогатинської міської ради</v>
      </c>
      <c r="G2532" s="1" t="str">
        <f>"Юридична особа"</f>
        <v>Юридична особа</v>
      </c>
      <c r="H2532" s="1" t="str">
        <f>"РОГАТИНСЬКА МІСЬКА РАДА"</f>
        <v>РОГАТИНСЬКА МІСЬКА РАДА</v>
      </c>
      <c r="I2532" s="1" t="str">
        <f>"04054323"</f>
        <v>04054323</v>
      </c>
      <c r="J2532" s="1" t="str">
        <f t="shared" si="357"/>
        <v>Закрито</v>
      </c>
      <c r="K2532" s="5">
        <v>45621</v>
      </c>
      <c r="L2532" s="1" t="s">
        <v>20</v>
      </c>
      <c r="M2532" s="1" t="s">
        <v>22</v>
      </c>
      <c r="N2532" s="5">
        <v>45621</v>
      </c>
    </row>
    <row r="2533" spans="1:14" x14ac:dyDescent="0.3">
      <c r="A2533" s="1" t="str">
        <f>"3_875-11/2024/К"</f>
        <v>3_875-11/2024/К</v>
      </c>
      <c r="B2533" s="6">
        <v>45621</v>
      </c>
      <c r="C2533" s="1" t="str">
        <f>"33"</f>
        <v>33</v>
      </c>
      <c r="D2533" s="2" t="str">
        <f>"33 Довідки різного характеру"</f>
        <v>33 Довідки різного характеру</v>
      </c>
      <c r="E2533" s="1" t="s">
        <v>20</v>
      </c>
      <c r="F2533" s="1" t="str">
        <f t="shared" si="356"/>
        <v>Центр надання адміністративних послуг Рогатинської міської ради</v>
      </c>
      <c r="G2533" s="1" t="str">
        <f>"Фізична особа"</f>
        <v>Фізична особа</v>
      </c>
      <c r="H2533" s="1" t="s">
        <v>20</v>
      </c>
      <c r="I2533" s="1" t="s">
        <v>20</v>
      </c>
      <c r="J2533" s="1" t="str">
        <f t="shared" si="357"/>
        <v>Закрито</v>
      </c>
      <c r="K2533" s="5">
        <v>45621</v>
      </c>
      <c r="L2533" s="1" t="s">
        <v>20</v>
      </c>
      <c r="M2533" s="1" t="s">
        <v>22</v>
      </c>
      <c r="N2533" s="5">
        <v>45621</v>
      </c>
    </row>
    <row r="2534" spans="1:14" x14ac:dyDescent="0.3">
      <c r="A2534" s="1" t="str">
        <f>"2_2088/2129-11/2024/Р"</f>
        <v>2_2088/2129-11/2024/Р</v>
      </c>
      <c r="B2534" s="6">
        <v>45621</v>
      </c>
      <c r="C2534" s="1" t="str">
        <f>"00041"</f>
        <v>00041</v>
      </c>
      <c r="D253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34" s="1" t="s">
        <v>20</v>
      </c>
      <c r="F2534" s="1" t="str">
        <f t="shared" si="356"/>
        <v>Центр надання адміністративних послуг Рогатинської міської ради</v>
      </c>
      <c r="G2534" s="1" t="str">
        <f>"Юридична особа"</f>
        <v>Юридична особа</v>
      </c>
      <c r="H2534" s="1" t="str">
        <f>"РОГАТИНСЬКА МІСЬКА РАДА"</f>
        <v>РОГАТИНСЬКА МІСЬКА РАДА</v>
      </c>
      <c r="I2534" s="1" t="str">
        <f>"04054323"</f>
        <v>04054323</v>
      </c>
      <c r="J2534" s="1" t="str">
        <f t="shared" si="357"/>
        <v>Закрито</v>
      </c>
      <c r="K2534" s="5">
        <v>45621</v>
      </c>
      <c r="L2534" s="1" t="s">
        <v>20</v>
      </c>
      <c r="M2534" s="1" t="s">
        <v>22</v>
      </c>
      <c r="N2534" s="5">
        <v>45621</v>
      </c>
    </row>
    <row r="2535" spans="1:14" x14ac:dyDescent="0.3">
      <c r="A2535" s="1" t="str">
        <f>"2_2089/2129-11/2024/Р"</f>
        <v>2_2089/2129-11/2024/Р</v>
      </c>
      <c r="B2535" s="6">
        <v>45621</v>
      </c>
      <c r="C2535" s="1" t="str">
        <f>"00041"</f>
        <v>00041</v>
      </c>
      <c r="D253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35" s="1" t="s">
        <v>20</v>
      </c>
      <c r="F2535" s="1" t="str">
        <f t="shared" si="356"/>
        <v>Центр надання адміністративних послуг Рогатинської міської ради</v>
      </c>
      <c r="G2535" s="1" t="str">
        <f>"Юридична особа"</f>
        <v>Юридична особа</v>
      </c>
      <c r="H2535" s="1" t="str">
        <f>"РОГАТИНСЬКА МІСЬКА РАДА"</f>
        <v>РОГАТИНСЬКА МІСЬКА РАДА</v>
      </c>
      <c r="I2535" s="1" t="str">
        <f>"04054323"</f>
        <v>04054323</v>
      </c>
      <c r="J2535" s="1" t="str">
        <f t="shared" si="357"/>
        <v>Закрито</v>
      </c>
      <c r="K2535" s="5">
        <v>45621</v>
      </c>
      <c r="L2535" s="1" t="s">
        <v>20</v>
      </c>
      <c r="M2535" s="1" t="s">
        <v>22</v>
      </c>
      <c r="N2535" s="5">
        <v>45621</v>
      </c>
    </row>
    <row r="2536" spans="1:14" x14ac:dyDescent="0.3">
      <c r="A2536" s="1" t="str">
        <f>"2_2090/2129-11/2024/Р"</f>
        <v>2_2090/2129-11/2024/Р</v>
      </c>
      <c r="B2536" s="6">
        <v>45621</v>
      </c>
      <c r="C2536" s="1" t="str">
        <f>"00041"</f>
        <v>00041</v>
      </c>
      <c r="D253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36" s="1" t="s">
        <v>20</v>
      </c>
      <c r="F2536" s="1" t="str">
        <f t="shared" si="356"/>
        <v>Центр надання адміністративних послуг Рогатинської міської ради</v>
      </c>
      <c r="G2536" s="1" t="str">
        <f>"Юридична особа"</f>
        <v>Юридична особа</v>
      </c>
      <c r="H2536" s="1" t="str">
        <f>"РОГАТИНСЬКА МІСЬКА РАДА"</f>
        <v>РОГАТИНСЬКА МІСЬКА РАДА</v>
      </c>
      <c r="I2536" s="1" t="str">
        <f>"04054323"</f>
        <v>04054323</v>
      </c>
      <c r="J2536" s="1" t="str">
        <f t="shared" si="357"/>
        <v>Закрито</v>
      </c>
      <c r="K2536" s="5">
        <v>45621</v>
      </c>
      <c r="L2536" s="1" t="s">
        <v>20</v>
      </c>
      <c r="M2536" s="1" t="s">
        <v>22</v>
      </c>
      <c r="N2536" s="5">
        <v>45621</v>
      </c>
    </row>
    <row r="2537" spans="1:14" x14ac:dyDescent="0.3">
      <c r="A2537" s="1" t="str">
        <f>"2_2091/2129-11/2024/Р"</f>
        <v>2_2091/2129-11/2024/Р</v>
      </c>
      <c r="B2537" s="6">
        <v>45621</v>
      </c>
      <c r="C2537" s="1" t="str">
        <f>"00041"</f>
        <v>00041</v>
      </c>
      <c r="D253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37" s="1" t="s">
        <v>20</v>
      </c>
      <c r="F2537" s="1" t="str">
        <f t="shared" si="356"/>
        <v>Центр надання адміністративних послуг Рогатинської міської ради</v>
      </c>
      <c r="G2537" s="1" t="str">
        <f>"Юридична особа"</f>
        <v>Юридична особа</v>
      </c>
      <c r="H2537" s="1" t="str">
        <f>"РОГАТИНСЬКА МІСЬКА РАДА"</f>
        <v>РОГАТИНСЬКА МІСЬКА РАДА</v>
      </c>
      <c r="I2537" s="1" t="str">
        <f>"04054323"</f>
        <v>04054323</v>
      </c>
      <c r="J2537" s="1" t="str">
        <f t="shared" si="357"/>
        <v>Закрито</v>
      </c>
      <c r="K2537" s="5">
        <v>45621</v>
      </c>
      <c r="L2537" s="1" t="s">
        <v>20</v>
      </c>
      <c r="M2537" s="1" t="s">
        <v>22</v>
      </c>
      <c r="N2537" s="5">
        <v>45621</v>
      </c>
    </row>
    <row r="2538" spans="1:14" x14ac:dyDescent="0.3">
      <c r="A2538" s="1" t="str">
        <f>"2_2092/2129-11/2024/Р"</f>
        <v>2_2092/2129-11/2024/Р</v>
      </c>
      <c r="B2538" s="6">
        <v>45621</v>
      </c>
      <c r="C2538" s="1" t="str">
        <f>"00041"</f>
        <v>00041</v>
      </c>
      <c r="D253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38" s="1" t="s">
        <v>20</v>
      </c>
      <c r="F2538" s="1" t="str">
        <f t="shared" si="356"/>
        <v>Центр надання адміністративних послуг Рогатинської міської ради</v>
      </c>
      <c r="G2538" s="1" t="str">
        <f>"Юридична особа"</f>
        <v>Юридична особа</v>
      </c>
      <c r="H2538" s="1" t="str">
        <f>"РОГАТИНСЬКА МІСЬКА РАДА"</f>
        <v>РОГАТИНСЬКА МІСЬКА РАДА</v>
      </c>
      <c r="I2538" s="1" t="str">
        <f>"04054323"</f>
        <v>04054323</v>
      </c>
      <c r="J2538" s="1" t="str">
        <f t="shared" si="357"/>
        <v>Закрито</v>
      </c>
      <c r="K2538" s="5">
        <v>45621</v>
      </c>
      <c r="L2538" s="1" t="s">
        <v>20</v>
      </c>
      <c r="M2538" s="1" t="s">
        <v>22</v>
      </c>
      <c r="N2538" s="5">
        <v>45621</v>
      </c>
    </row>
    <row r="2539" spans="1:14" x14ac:dyDescent="0.3">
      <c r="A2539" s="1" t="str">
        <f>"29_475-11/2024/М"</f>
        <v>29_475-11/2024/М</v>
      </c>
      <c r="B2539" s="6">
        <v>45621</v>
      </c>
      <c r="C2539" s="1" t="str">
        <f>"33"</f>
        <v>33</v>
      </c>
      <c r="D2539" s="2" t="str">
        <f>"33 Довідки різного характеру"</f>
        <v>33 Довідки різного характеру</v>
      </c>
      <c r="E2539" s="1" t="s">
        <v>20</v>
      </c>
      <c r="F2539" s="1" t="str">
        <f t="shared" si="356"/>
        <v>Центр надання адміністративних послуг Рогатинської міської ради</v>
      </c>
      <c r="G2539" s="1" t="str">
        <f>"Фізична особа"</f>
        <v>Фізична особа</v>
      </c>
      <c r="H2539" s="1" t="s">
        <v>20</v>
      </c>
      <c r="I2539" s="1" t="s">
        <v>20</v>
      </c>
      <c r="J2539" s="1" t="str">
        <f t="shared" si="357"/>
        <v>Закрито</v>
      </c>
      <c r="K2539" s="5">
        <v>45621</v>
      </c>
      <c r="L2539" s="1" t="s">
        <v>20</v>
      </c>
      <c r="M2539" s="1" t="s">
        <v>22</v>
      </c>
      <c r="N2539" s="5">
        <v>45621</v>
      </c>
    </row>
    <row r="2540" spans="1:14" x14ac:dyDescent="0.3">
      <c r="A2540" s="1" t="str">
        <f>"2_2093/2129-11/2024/Р"</f>
        <v>2_2093/2129-11/2024/Р</v>
      </c>
      <c r="B2540" s="6">
        <v>45621</v>
      </c>
      <c r="C2540" s="1" t="str">
        <f>"00041"</f>
        <v>00041</v>
      </c>
      <c r="D254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40" s="1" t="s">
        <v>20</v>
      </c>
      <c r="F2540" s="1" t="str">
        <f t="shared" si="356"/>
        <v>Центр надання адміністративних послуг Рогатинської міської ради</v>
      </c>
      <c r="G2540" s="1" t="str">
        <f>"Юридична особа"</f>
        <v>Юридична особа</v>
      </c>
      <c r="H2540" s="1" t="str">
        <f>"РОГАТИНСЬКА МІСЬКА РАДА"</f>
        <v>РОГАТИНСЬКА МІСЬКА РАДА</v>
      </c>
      <c r="I2540" s="1" t="str">
        <f>"04054323"</f>
        <v>04054323</v>
      </c>
      <c r="J2540" s="1" t="str">
        <f t="shared" si="357"/>
        <v>Закрито</v>
      </c>
      <c r="K2540" s="5">
        <v>45621</v>
      </c>
      <c r="L2540" s="1" t="s">
        <v>20</v>
      </c>
      <c r="M2540" s="1" t="s">
        <v>22</v>
      </c>
      <c r="N2540" s="5">
        <v>45621</v>
      </c>
    </row>
    <row r="2541" spans="1:14" x14ac:dyDescent="0.3">
      <c r="A2541" s="1" t="str">
        <f>"2_2094/2129-11/2024/Р"</f>
        <v>2_2094/2129-11/2024/Р</v>
      </c>
      <c r="B2541" s="6">
        <v>45621</v>
      </c>
      <c r="C2541" s="1" t="str">
        <f>"00041"</f>
        <v>00041</v>
      </c>
      <c r="D254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41" s="1" t="s">
        <v>20</v>
      </c>
      <c r="F2541" s="1" t="str">
        <f t="shared" si="356"/>
        <v>Центр надання адміністративних послуг Рогатинської міської ради</v>
      </c>
      <c r="G2541" s="1" t="str">
        <f>"Юридична особа"</f>
        <v>Юридична особа</v>
      </c>
      <c r="H2541" s="1" t="str">
        <f>"РОГАТИНСЬКА МІСЬКА РАДА"</f>
        <v>РОГАТИНСЬКА МІСЬКА РАДА</v>
      </c>
      <c r="I2541" s="1" t="str">
        <f>"04054323"</f>
        <v>04054323</v>
      </c>
      <c r="J2541" s="1" t="str">
        <f t="shared" si="357"/>
        <v>Закрито</v>
      </c>
      <c r="K2541" s="5">
        <v>45621</v>
      </c>
      <c r="L2541" s="1" t="s">
        <v>20</v>
      </c>
      <c r="M2541" s="1" t="s">
        <v>22</v>
      </c>
      <c r="N2541" s="5">
        <v>45621</v>
      </c>
    </row>
    <row r="2542" spans="1:14" x14ac:dyDescent="0.3">
      <c r="A2542" s="1" t="str">
        <f>"2_2095/2129-11/2024/Р"</f>
        <v>2_2095/2129-11/2024/Р</v>
      </c>
      <c r="B2542" s="6">
        <v>45621</v>
      </c>
      <c r="C2542" s="1" t="str">
        <f>"00041"</f>
        <v>00041</v>
      </c>
      <c r="D254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42" s="1" t="s">
        <v>20</v>
      </c>
      <c r="F2542" s="1" t="str">
        <f t="shared" si="356"/>
        <v>Центр надання адміністративних послуг Рогатинської міської ради</v>
      </c>
      <c r="G2542" s="1" t="str">
        <f>"Юридична особа"</f>
        <v>Юридична особа</v>
      </c>
      <c r="H2542" s="1" t="str">
        <f>"РОГАТИНСЬКА МІСЬКА РАДА"</f>
        <v>РОГАТИНСЬКА МІСЬКА РАДА</v>
      </c>
      <c r="I2542" s="1" t="str">
        <f>"04054323"</f>
        <v>04054323</v>
      </c>
      <c r="J2542" s="1" t="str">
        <f t="shared" si="357"/>
        <v>Закрито</v>
      </c>
      <c r="K2542" s="5">
        <v>45621</v>
      </c>
      <c r="L2542" s="1" t="s">
        <v>20</v>
      </c>
      <c r="M2542" s="1" t="s">
        <v>22</v>
      </c>
      <c r="N2542" s="5">
        <v>45621</v>
      </c>
    </row>
    <row r="2543" spans="1:14" x14ac:dyDescent="0.3">
      <c r="A2543" s="1" t="str">
        <f>"2_2096/2129-11/2024/Р"</f>
        <v>2_2096/2129-11/2024/Р</v>
      </c>
      <c r="B2543" s="6">
        <v>45621</v>
      </c>
      <c r="C2543" s="1" t="str">
        <f>"00041"</f>
        <v>00041</v>
      </c>
      <c r="D2543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43" s="1" t="s">
        <v>20</v>
      </c>
      <c r="F2543" s="1" t="str">
        <f t="shared" si="356"/>
        <v>Центр надання адміністративних послуг Рогатинської міської ради</v>
      </c>
      <c r="G2543" s="1" t="str">
        <f>"Юридична особа"</f>
        <v>Юридична особа</v>
      </c>
      <c r="H2543" s="1" t="str">
        <f>"РОГАТИНСЬКА МІСЬКА РАДА"</f>
        <v>РОГАТИНСЬКА МІСЬКА РАДА</v>
      </c>
      <c r="I2543" s="1" t="str">
        <f>"04054323"</f>
        <v>04054323</v>
      </c>
      <c r="J2543" s="1" t="str">
        <f t="shared" si="357"/>
        <v>Закрито</v>
      </c>
      <c r="K2543" s="5">
        <v>45621</v>
      </c>
      <c r="L2543" s="1" t="s">
        <v>20</v>
      </c>
      <c r="M2543" s="1" t="s">
        <v>22</v>
      </c>
      <c r="N2543" s="5">
        <v>45621</v>
      </c>
    </row>
    <row r="2544" spans="1:14" x14ac:dyDescent="0.3">
      <c r="A2544" s="1" t="str">
        <f>"2_2097/2129-11/2024/Р"</f>
        <v>2_2097/2129-11/2024/Р</v>
      </c>
      <c r="B2544" s="6">
        <v>45621</v>
      </c>
      <c r="C2544" s="1" t="str">
        <f>"00041"</f>
        <v>00041</v>
      </c>
      <c r="D254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44" s="1" t="s">
        <v>20</v>
      </c>
      <c r="F2544" s="1" t="str">
        <f t="shared" si="356"/>
        <v>Центр надання адміністративних послуг Рогатинської міської ради</v>
      </c>
      <c r="G2544" s="1" t="str">
        <f>"Юридична особа"</f>
        <v>Юридична особа</v>
      </c>
      <c r="H2544" s="1" t="str">
        <f>"РОГАТИНСЬКА МІСЬКА РАДА"</f>
        <v>РОГАТИНСЬКА МІСЬКА РАДА</v>
      </c>
      <c r="I2544" s="1" t="str">
        <f>"04054323"</f>
        <v>04054323</v>
      </c>
      <c r="J2544" s="1" t="str">
        <f t="shared" si="357"/>
        <v>Закрито</v>
      </c>
      <c r="K2544" s="5">
        <v>45621</v>
      </c>
      <c r="L2544" s="1" t="s">
        <v>20</v>
      </c>
      <c r="M2544" s="1" t="s">
        <v>22</v>
      </c>
      <c r="N2544" s="5">
        <v>45621</v>
      </c>
    </row>
    <row r="2545" spans="1:14" x14ac:dyDescent="0.3">
      <c r="A2545" s="1" t="str">
        <f>"29_476-11/2024/д"</f>
        <v>29_476-11/2024/д</v>
      </c>
      <c r="B2545" s="6">
        <v>45621</v>
      </c>
      <c r="C2545" s="1" t="str">
        <f>"33"</f>
        <v>33</v>
      </c>
      <c r="D2545" s="2" t="str">
        <f>"33 Довідки різного характеру"</f>
        <v>33 Довідки різного характеру</v>
      </c>
      <c r="E2545" s="1" t="s">
        <v>20</v>
      </c>
      <c r="F2545" s="1" t="str">
        <f t="shared" si="356"/>
        <v>Центр надання адміністративних послуг Рогатинської міської ради</v>
      </c>
      <c r="G2545" s="1" t="str">
        <f>"Фізична особа"</f>
        <v>Фізична особа</v>
      </c>
      <c r="H2545" s="1" t="s">
        <v>20</v>
      </c>
      <c r="I2545" s="1" t="s">
        <v>20</v>
      </c>
      <c r="J2545" s="1" t="str">
        <f t="shared" si="357"/>
        <v>Закрито</v>
      </c>
      <c r="K2545" s="5">
        <v>45621</v>
      </c>
      <c r="L2545" s="1" t="s">
        <v>20</v>
      </c>
      <c r="M2545" s="1" t="s">
        <v>22</v>
      </c>
      <c r="N2545" s="5">
        <v>45621</v>
      </c>
    </row>
    <row r="2546" spans="1:14" x14ac:dyDescent="0.3">
      <c r="A2546" s="1" t="str">
        <f>"3_1425/4-11/2024/Я"</f>
        <v>3_1425/4-11/2024/Я</v>
      </c>
      <c r="B2546" s="6">
        <v>45621</v>
      </c>
      <c r="C2546" s="1" t="str">
        <f>"00060"</f>
        <v>00060</v>
      </c>
      <c r="D2546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546" s="1" t="s">
        <v>20</v>
      </c>
      <c r="F2546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546" s="1" t="str">
        <f>"Фізична особа"</f>
        <v>Фізична особа</v>
      </c>
      <c r="H2546" s="1" t="s">
        <v>20</v>
      </c>
      <c r="I2546" s="1" t="s">
        <v>20</v>
      </c>
      <c r="J2546" s="1" t="str">
        <f t="shared" si="357"/>
        <v>Закрито</v>
      </c>
      <c r="K2546" s="5">
        <v>45621</v>
      </c>
      <c r="L2546" s="1" t="str">
        <f>"151.4"</f>
        <v>151.4</v>
      </c>
      <c r="M2546" s="1" t="s">
        <v>22</v>
      </c>
      <c r="N2546" s="5">
        <v>45621</v>
      </c>
    </row>
    <row r="2547" spans="1:14" x14ac:dyDescent="0.3">
      <c r="A2547" s="1" t="str">
        <f>"2_2098/2129-11/2024/Р"</f>
        <v>2_2098/2129-11/2024/Р</v>
      </c>
      <c r="B2547" s="6">
        <v>45621</v>
      </c>
      <c r="C2547" s="1" t="str">
        <f t="shared" ref="C2547:C2562" si="358">"00041"</f>
        <v>00041</v>
      </c>
      <c r="D2547" s="2" t="str">
        <f t="shared" ref="D2547:D2562" si="359"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47" s="1" t="s">
        <v>20</v>
      </c>
      <c r="F2547" s="1" t="str">
        <f t="shared" ref="F2547:F2568" si="360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47" s="1" t="str">
        <f t="shared" ref="G2547:G2562" si="361">"Юридична особа"</f>
        <v>Юридична особа</v>
      </c>
      <c r="H2547" s="1" t="str">
        <f t="shared" ref="H2547:H2562" si="362">"РОГАТИНСЬКА МІСЬКА РАДА"</f>
        <v>РОГАТИНСЬКА МІСЬКА РАДА</v>
      </c>
      <c r="I2547" s="1" t="str">
        <f t="shared" ref="I2547:I2562" si="363">"04054323"</f>
        <v>04054323</v>
      </c>
      <c r="J2547" s="1" t="str">
        <f t="shared" si="357"/>
        <v>Закрито</v>
      </c>
      <c r="K2547" s="5">
        <v>45621</v>
      </c>
      <c r="L2547" s="1" t="s">
        <v>20</v>
      </c>
      <c r="M2547" s="1" t="s">
        <v>22</v>
      </c>
      <c r="N2547" s="5">
        <v>45621</v>
      </c>
    </row>
    <row r="2548" spans="1:14" x14ac:dyDescent="0.3">
      <c r="A2548" s="1" t="str">
        <f>"2_2099/2129-11/2024/Р"</f>
        <v>2_2099/2129-11/2024/Р</v>
      </c>
      <c r="B2548" s="6">
        <v>45621</v>
      </c>
      <c r="C2548" s="1" t="str">
        <f t="shared" si="358"/>
        <v>00041</v>
      </c>
      <c r="D2548" s="2" t="str">
        <f t="shared" si="359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48" s="1" t="s">
        <v>20</v>
      </c>
      <c r="F2548" s="1" t="str">
        <f t="shared" si="360"/>
        <v>Центр надання адміністративних послуг Рогатинської міської ради</v>
      </c>
      <c r="G2548" s="1" t="str">
        <f t="shared" si="361"/>
        <v>Юридична особа</v>
      </c>
      <c r="H2548" s="1" t="str">
        <f t="shared" si="362"/>
        <v>РОГАТИНСЬКА МІСЬКА РАДА</v>
      </c>
      <c r="I2548" s="1" t="str">
        <f t="shared" si="363"/>
        <v>04054323</v>
      </c>
      <c r="J2548" s="1" t="str">
        <f t="shared" si="357"/>
        <v>Закрито</v>
      </c>
      <c r="K2548" s="5">
        <v>45621</v>
      </c>
      <c r="L2548" s="1" t="s">
        <v>20</v>
      </c>
      <c r="M2548" s="1" t="s">
        <v>22</v>
      </c>
      <c r="N2548" s="5">
        <v>45621</v>
      </c>
    </row>
    <row r="2549" spans="1:14" x14ac:dyDescent="0.3">
      <c r="A2549" s="1" t="str">
        <f>"2_2100/2129-11/2024/Р"</f>
        <v>2_2100/2129-11/2024/Р</v>
      </c>
      <c r="B2549" s="6">
        <v>45621</v>
      </c>
      <c r="C2549" s="1" t="str">
        <f t="shared" si="358"/>
        <v>00041</v>
      </c>
      <c r="D2549" s="2" t="str">
        <f t="shared" si="359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49" s="1" t="s">
        <v>20</v>
      </c>
      <c r="F2549" s="1" t="str">
        <f t="shared" si="360"/>
        <v>Центр надання адміністративних послуг Рогатинської міської ради</v>
      </c>
      <c r="G2549" s="1" t="str">
        <f t="shared" si="361"/>
        <v>Юридична особа</v>
      </c>
      <c r="H2549" s="1" t="str">
        <f t="shared" si="362"/>
        <v>РОГАТИНСЬКА МІСЬКА РАДА</v>
      </c>
      <c r="I2549" s="1" t="str">
        <f t="shared" si="363"/>
        <v>04054323</v>
      </c>
      <c r="J2549" s="1" t="str">
        <f t="shared" si="357"/>
        <v>Закрито</v>
      </c>
      <c r="K2549" s="5">
        <v>45621</v>
      </c>
      <c r="L2549" s="1" t="s">
        <v>20</v>
      </c>
      <c r="M2549" s="1" t="s">
        <v>22</v>
      </c>
      <c r="N2549" s="5">
        <v>45621</v>
      </c>
    </row>
    <row r="2550" spans="1:14" x14ac:dyDescent="0.3">
      <c r="A2550" s="1" t="str">
        <f>"2_2101/2129-11/2024/Р"</f>
        <v>2_2101/2129-11/2024/Р</v>
      </c>
      <c r="B2550" s="6">
        <v>45621</v>
      </c>
      <c r="C2550" s="1" t="str">
        <f t="shared" si="358"/>
        <v>00041</v>
      </c>
      <c r="D2550" s="2" t="str">
        <f t="shared" si="359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50" s="1" t="s">
        <v>20</v>
      </c>
      <c r="F2550" s="1" t="str">
        <f t="shared" si="360"/>
        <v>Центр надання адміністративних послуг Рогатинської міської ради</v>
      </c>
      <c r="G2550" s="1" t="str">
        <f t="shared" si="361"/>
        <v>Юридична особа</v>
      </c>
      <c r="H2550" s="1" t="str">
        <f t="shared" si="362"/>
        <v>РОГАТИНСЬКА МІСЬКА РАДА</v>
      </c>
      <c r="I2550" s="1" t="str">
        <f t="shared" si="363"/>
        <v>04054323</v>
      </c>
      <c r="J2550" s="1" t="str">
        <f t="shared" si="357"/>
        <v>Закрито</v>
      </c>
      <c r="K2550" s="5">
        <v>45621</v>
      </c>
      <c r="L2550" s="1" t="s">
        <v>20</v>
      </c>
      <c r="M2550" s="1" t="s">
        <v>22</v>
      </c>
      <c r="N2550" s="5">
        <v>45621</v>
      </c>
    </row>
    <row r="2551" spans="1:14" x14ac:dyDescent="0.3">
      <c r="A2551" s="1" t="str">
        <f>"2_2102/2129-11/2024/Р"</f>
        <v>2_2102/2129-11/2024/Р</v>
      </c>
      <c r="B2551" s="6">
        <v>45621</v>
      </c>
      <c r="C2551" s="1" t="str">
        <f t="shared" si="358"/>
        <v>00041</v>
      </c>
      <c r="D2551" s="2" t="str">
        <f t="shared" si="359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51" s="1" t="s">
        <v>20</v>
      </c>
      <c r="F2551" s="1" t="str">
        <f t="shared" si="360"/>
        <v>Центр надання адміністративних послуг Рогатинської міської ради</v>
      </c>
      <c r="G2551" s="1" t="str">
        <f t="shared" si="361"/>
        <v>Юридична особа</v>
      </c>
      <c r="H2551" s="1" t="str">
        <f t="shared" si="362"/>
        <v>РОГАТИНСЬКА МІСЬКА РАДА</v>
      </c>
      <c r="I2551" s="1" t="str">
        <f t="shared" si="363"/>
        <v>04054323</v>
      </c>
      <c r="J2551" s="1" t="str">
        <f t="shared" si="357"/>
        <v>Закрито</v>
      </c>
      <c r="K2551" s="5">
        <v>45621</v>
      </c>
      <c r="L2551" s="1" t="s">
        <v>20</v>
      </c>
      <c r="M2551" s="1" t="s">
        <v>22</v>
      </c>
      <c r="N2551" s="5">
        <v>45621</v>
      </c>
    </row>
    <row r="2552" spans="1:14" x14ac:dyDescent="0.3">
      <c r="A2552" s="1" t="str">
        <f>"2_2103/2129-11/2024/Р"</f>
        <v>2_2103/2129-11/2024/Р</v>
      </c>
      <c r="B2552" s="6">
        <v>45621</v>
      </c>
      <c r="C2552" s="1" t="str">
        <f t="shared" si="358"/>
        <v>00041</v>
      </c>
      <c r="D2552" s="2" t="str">
        <f t="shared" si="359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52" s="1" t="s">
        <v>20</v>
      </c>
      <c r="F2552" s="1" t="str">
        <f t="shared" si="360"/>
        <v>Центр надання адміністративних послуг Рогатинської міської ради</v>
      </c>
      <c r="G2552" s="1" t="str">
        <f t="shared" si="361"/>
        <v>Юридична особа</v>
      </c>
      <c r="H2552" s="1" t="str">
        <f t="shared" si="362"/>
        <v>РОГАТИНСЬКА МІСЬКА РАДА</v>
      </c>
      <c r="I2552" s="1" t="str">
        <f t="shared" si="363"/>
        <v>04054323</v>
      </c>
      <c r="J2552" s="1" t="str">
        <f t="shared" si="357"/>
        <v>Закрито</v>
      </c>
      <c r="K2552" s="5">
        <v>45621</v>
      </c>
      <c r="L2552" s="1" t="s">
        <v>20</v>
      </c>
      <c r="M2552" s="1" t="s">
        <v>22</v>
      </c>
      <c r="N2552" s="5">
        <v>45621</v>
      </c>
    </row>
    <row r="2553" spans="1:14" x14ac:dyDescent="0.3">
      <c r="A2553" s="1" t="str">
        <f>"2_2104/2129-11/2024/Р"</f>
        <v>2_2104/2129-11/2024/Р</v>
      </c>
      <c r="B2553" s="6">
        <v>45621</v>
      </c>
      <c r="C2553" s="1" t="str">
        <f t="shared" si="358"/>
        <v>00041</v>
      </c>
      <c r="D2553" s="2" t="str">
        <f t="shared" si="359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53" s="1" t="s">
        <v>20</v>
      </c>
      <c r="F2553" s="1" t="str">
        <f t="shared" si="360"/>
        <v>Центр надання адміністративних послуг Рогатинської міської ради</v>
      </c>
      <c r="G2553" s="1" t="str">
        <f t="shared" si="361"/>
        <v>Юридична особа</v>
      </c>
      <c r="H2553" s="1" t="str">
        <f t="shared" si="362"/>
        <v>РОГАТИНСЬКА МІСЬКА РАДА</v>
      </c>
      <c r="I2553" s="1" t="str">
        <f t="shared" si="363"/>
        <v>04054323</v>
      </c>
      <c r="J2553" s="1" t="str">
        <f t="shared" si="357"/>
        <v>Закрито</v>
      </c>
      <c r="K2553" s="5">
        <v>45621</v>
      </c>
      <c r="L2553" s="1" t="s">
        <v>20</v>
      </c>
      <c r="M2553" s="1" t="s">
        <v>22</v>
      </c>
      <c r="N2553" s="5">
        <v>45621</v>
      </c>
    </row>
    <row r="2554" spans="1:14" x14ac:dyDescent="0.3">
      <c r="A2554" s="1" t="str">
        <f>"2_2105/2129-11/2024/Р"</f>
        <v>2_2105/2129-11/2024/Р</v>
      </c>
      <c r="B2554" s="6">
        <v>45621</v>
      </c>
      <c r="C2554" s="1" t="str">
        <f t="shared" si="358"/>
        <v>00041</v>
      </c>
      <c r="D2554" s="2" t="str">
        <f t="shared" si="359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54" s="1" t="s">
        <v>20</v>
      </c>
      <c r="F2554" s="1" t="str">
        <f t="shared" si="360"/>
        <v>Центр надання адміністративних послуг Рогатинської міської ради</v>
      </c>
      <c r="G2554" s="1" t="str">
        <f t="shared" si="361"/>
        <v>Юридична особа</v>
      </c>
      <c r="H2554" s="1" t="str">
        <f t="shared" si="362"/>
        <v>РОГАТИНСЬКА МІСЬКА РАДА</v>
      </c>
      <c r="I2554" s="1" t="str">
        <f t="shared" si="363"/>
        <v>04054323</v>
      </c>
      <c r="J2554" s="1" t="str">
        <f t="shared" si="357"/>
        <v>Закрито</v>
      </c>
      <c r="K2554" s="5">
        <v>45621</v>
      </c>
      <c r="L2554" s="1" t="s">
        <v>20</v>
      </c>
      <c r="M2554" s="1" t="s">
        <v>22</v>
      </c>
      <c r="N2554" s="5">
        <v>45621</v>
      </c>
    </row>
    <row r="2555" spans="1:14" x14ac:dyDescent="0.3">
      <c r="A2555" s="1" t="str">
        <f>"2_2106/2129-11/2024/Р"</f>
        <v>2_2106/2129-11/2024/Р</v>
      </c>
      <c r="B2555" s="6">
        <v>45621</v>
      </c>
      <c r="C2555" s="1" t="str">
        <f t="shared" si="358"/>
        <v>00041</v>
      </c>
      <c r="D2555" s="2" t="str">
        <f t="shared" si="359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55" s="1" t="s">
        <v>20</v>
      </c>
      <c r="F2555" s="1" t="str">
        <f t="shared" si="360"/>
        <v>Центр надання адміністративних послуг Рогатинської міської ради</v>
      </c>
      <c r="G2555" s="1" t="str">
        <f t="shared" si="361"/>
        <v>Юридична особа</v>
      </c>
      <c r="H2555" s="1" t="str">
        <f t="shared" si="362"/>
        <v>РОГАТИНСЬКА МІСЬКА РАДА</v>
      </c>
      <c r="I2555" s="1" t="str">
        <f t="shared" si="363"/>
        <v>04054323</v>
      </c>
      <c r="J2555" s="1" t="str">
        <f t="shared" si="357"/>
        <v>Закрито</v>
      </c>
      <c r="K2555" s="5">
        <v>45621</v>
      </c>
      <c r="L2555" s="1" t="s">
        <v>20</v>
      </c>
      <c r="M2555" s="1" t="s">
        <v>22</v>
      </c>
      <c r="N2555" s="5">
        <v>45621</v>
      </c>
    </row>
    <row r="2556" spans="1:14" x14ac:dyDescent="0.3">
      <c r="A2556" s="1" t="str">
        <f>"2_2107/2129-11/2024/Р"</f>
        <v>2_2107/2129-11/2024/Р</v>
      </c>
      <c r="B2556" s="6">
        <v>45621</v>
      </c>
      <c r="C2556" s="1" t="str">
        <f t="shared" si="358"/>
        <v>00041</v>
      </c>
      <c r="D2556" s="2" t="str">
        <f t="shared" si="359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56" s="1" t="s">
        <v>20</v>
      </c>
      <c r="F2556" s="1" t="str">
        <f t="shared" si="360"/>
        <v>Центр надання адміністративних послуг Рогатинської міської ради</v>
      </c>
      <c r="G2556" s="1" t="str">
        <f t="shared" si="361"/>
        <v>Юридична особа</v>
      </c>
      <c r="H2556" s="1" t="str">
        <f t="shared" si="362"/>
        <v>РОГАТИНСЬКА МІСЬКА РАДА</v>
      </c>
      <c r="I2556" s="1" t="str">
        <f t="shared" si="363"/>
        <v>04054323</v>
      </c>
      <c r="J2556" s="1" t="str">
        <f t="shared" si="357"/>
        <v>Закрито</v>
      </c>
      <c r="K2556" s="5">
        <v>45621</v>
      </c>
      <c r="L2556" s="1" t="s">
        <v>20</v>
      </c>
      <c r="M2556" s="1" t="s">
        <v>22</v>
      </c>
      <c r="N2556" s="5">
        <v>45621</v>
      </c>
    </row>
    <row r="2557" spans="1:14" x14ac:dyDescent="0.3">
      <c r="A2557" s="1" t="str">
        <f>"2_2108/2129-11/2024/Р"</f>
        <v>2_2108/2129-11/2024/Р</v>
      </c>
      <c r="B2557" s="6">
        <v>45621</v>
      </c>
      <c r="C2557" s="1" t="str">
        <f t="shared" si="358"/>
        <v>00041</v>
      </c>
      <c r="D2557" s="2" t="str">
        <f t="shared" si="359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57" s="1" t="s">
        <v>20</v>
      </c>
      <c r="F2557" s="1" t="str">
        <f t="shared" si="360"/>
        <v>Центр надання адміністративних послуг Рогатинської міської ради</v>
      </c>
      <c r="G2557" s="1" t="str">
        <f t="shared" si="361"/>
        <v>Юридична особа</v>
      </c>
      <c r="H2557" s="1" t="str">
        <f t="shared" si="362"/>
        <v>РОГАТИНСЬКА МІСЬКА РАДА</v>
      </c>
      <c r="I2557" s="1" t="str">
        <f t="shared" si="363"/>
        <v>04054323</v>
      </c>
      <c r="J2557" s="1" t="str">
        <f t="shared" si="357"/>
        <v>Закрито</v>
      </c>
      <c r="K2557" s="5">
        <v>45621</v>
      </c>
      <c r="L2557" s="1" t="s">
        <v>20</v>
      </c>
      <c r="M2557" s="1" t="s">
        <v>22</v>
      </c>
      <c r="N2557" s="5">
        <v>45621</v>
      </c>
    </row>
    <row r="2558" spans="1:14" x14ac:dyDescent="0.3">
      <c r="A2558" s="1" t="str">
        <f>"2_2109/2129-11/2024/Р"</f>
        <v>2_2109/2129-11/2024/Р</v>
      </c>
      <c r="B2558" s="6">
        <v>45621</v>
      </c>
      <c r="C2558" s="1" t="str">
        <f t="shared" si="358"/>
        <v>00041</v>
      </c>
      <c r="D2558" s="2" t="str">
        <f t="shared" si="359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58" s="1" t="s">
        <v>20</v>
      </c>
      <c r="F2558" s="1" t="str">
        <f t="shared" si="360"/>
        <v>Центр надання адміністративних послуг Рогатинської міської ради</v>
      </c>
      <c r="G2558" s="1" t="str">
        <f t="shared" si="361"/>
        <v>Юридична особа</v>
      </c>
      <c r="H2558" s="1" t="str">
        <f t="shared" si="362"/>
        <v>РОГАТИНСЬКА МІСЬКА РАДА</v>
      </c>
      <c r="I2558" s="1" t="str">
        <f t="shared" si="363"/>
        <v>04054323</v>
      </c>
      <c r="J2558" s="1" t="str">
        <f t="shared" si="357"/>
        <v>Закрито</v>
      </c>
      <c r="K2558" s="5">
        <v>45621</v>
      </c>
      <c r="L2558" s="1" t="s">
        <v>20</v>
      </c>
      <c r="M2558" s="1" t="s">
        <v>22</v>
      </c>
      <c r="N2558" s="5">
        <v>45621</v>
      </c>
    </row>
    <row r="2559" spans="1:14" x14ac:dyDescent="0.3">
      <c r="A2559" s="1" t="str">
        <f>"2_2110/2129-11/2024/Р"</f>
        <v>2_2110/2129-11/2024/Р</v>
      </c>
      <c r="B2559" s="6">
        <v>45621</v>
      </c>
      <c r="C2559" s="1" t="str">
        <f t="shared" si="358"/>
        <v>00041</v>
      </c>
      <c r="D2559" s="2" t="str">
        <f t="shared" si="359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59" s="1" t="s">
        <v>20</v>
      </c>
      <c r="F2559" s="1" t="str">
        <f t="shared" si="360"/>
        <v>Центр надання адміністративних послуг Рогатинської міської ради</v>
      </c>
      <c r="G2559" s="1" t="str">
        <f t="shared" si="361"/>
        <v>Юридична особа</v>
      </c>
      <c r="H2559" s="1" t="str">
        <f t="shared" si="362"/>
        <v>РОГАТИНСЬКА МІСЬКА РАДА</v>
      </c>
      <c r="I2559" s="1" t="str">
        <f t="shared" si="363"/>
        <v>04054323</v>
      </c>
      <c r="J2559" s="1" t="str">
        <f t="shared" si="357"/>
        <v>Закрито</v>
      </c>
      <c r="K2559" s="5">
        <v>45621</v>
      </c>
      <c r="L2559" s="1" t="s">
        <v>20</v>
      </c>
      <c r="M2559" s="1" t="s">
        <v>22</v>
      </c>
      <c r="N2559" s="5">
        <v>45621</v>
      </c>
    </row>
    <row r="2560" spans="1:14" x14ac:dyDescent="0.3">
      <c r="A2560" s="1" t="str">
        <f>"2_2111/2129-11/2024/Р"</f>
        <v>2_2111/2129-11/2024/Р</v>
      </c>
      <c r="B2560" s="6">
        <v>45621</v>
      </c>
      <c r="C2560" s="1" t="str">
        <f t="shared" si="358"/>
        <v>00041</v>
      </c>
      <c r="D2560" s="2" t="str">
        <f t="shared" si="359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60" s="1" t="s">
        <v>20</v>
      </c>
      <c r="F2560" s="1" t="str">
        <f t="shared" si="360"/>
        <v>Центр надання адміністративних послуг Рогатинської міської ради</v>
      </c>
      <c r="G2560" s="1" t="str">
        <f t="shared" si="361"/>
        <v>Юридична особа</v>
      </c>
      <c r="H2560" s="1" t="str">
        <f t="shared" si="362"/>
        <v>РОГАТИНСЬКА МІСЬКА РАДА</v>
      </c>
      <c r="I2560" s="1" t="str">
        <f t="shared" si="363"/>
        <v>04054323</v>
      </c>
      <c r="J2560" s="1" t="str">
        <f t="shared" si="357"/>
        <v>Закрито</v>
      </c>
      <c r="K2560" s="5">
        <v>45621</v>
      </c>
      <c r="L2560" s="1" t="s">
        <v>20</v>
      </c>
      <c r="M2560" s="1" t="s">
        <v>22</v>
      </c>
      <c r="N2560" s="5">
        <v>45621</v>
      </c>
    </row>
    <row r="2561" spans="1:14" x14ac:dyDescent="0.3">
      <c r="A2561" s="1" t="str">
        <f>"2_2112/2129-11/2024/Р"</f>
        <v>2_2112/2129-11/2024/Р</v>
      </c>
      <c r="B2561" s="6">
        <v>45621</v>
      </c>
      <c r="C2561" s="1" t="str">
        <f t="shared" si="358"/>
        <v>00041</v>
      </c>
      <c r="D2561" s="2" t="str">
        <f t="shared" si="359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61" s="1" t="s">
        <v>20</v>
      </c>
      <c r="F2561" s="1" t="str">
        <f t="shared" si="360"/>
        <v>Центр надання адміністративних послуг Рогатинської міської ради</v>
      </c>
      <c r="G2561" s="1" t="str">
        <f t="shared" si="361"/>
        <v>Юридична особа</v>
      </c>
      <c r="H2561" s="1" t="str">
        <f t="shared" si="362"/>
        <v>РОГАТИНСЬКА МІСЬКА РАДА</v>
      </c>
      <c r="I2561" s="1" t="str">
        <f t="shared" si="363"/>
        <v>04054323</v>
      </c>
      <c r="J2561" s="1" t="str">
        <f t="shared" si="357"/>
        <v>Закрито</v>
      </c>
      <c r="K2561" s="5">
        <v>45621</v>
      </c>
      <c r="L2561" s="1" t="s">
        <v>20</v>
      </c>
      <c r="M2561" s="1" t="s">
        <v>22</v>
      </c>
      <c r="N2561" s="5">
        <v>45621</v>
      </c>
    </row>
    <row r="2562" spans="1:14" x14ac:dyDescent="0.3">
      <c r="A2562" s="1" t="str">
        <f>"2_2113/2129-11/2024/Р"</f>
        <v>2_2113/2129-11/2024/Р</v>
      </c>
      <c r="B2562" s="6">
        <v>45621</v>
      </c>
      <c r="C2562" s="1" t="str">
        <f t="shared" si="358"/>
        <v>00041</v>
      </c>
      <c r="D2562" s="2" t="str">
        <f t="shared" si="359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62" s="1" t="s">
        <v>20</v>
      </c>
      <c r="F2562" s="1" t="str">
        <f t="shared" si="360"/>
        <v>Центр надання адміністративних послуг Рогатинської міської ради</v>
      </c>
      <c r="G2562" s="1" t="str">
        <f t="shared" si="361"/>
        <v>Юридична особа</v>
      </c>
      <c r="H2562" s="1" t="str">
        <f t="shared" si="362"/>
        <v>РОГАТИНСЬКА МІСЬКА РАДА</v>
      </c>
      <c r="I2562" s="1" t="str">
        <f t="shared" si="363"/>
        <v>04054323</v>
      </c>
      <c r="J2562" s="1" t="str">
        <f t="shared" si="357"/>
        <v>Закрито</v>
      </c>
      <c r="K2562" s="5">
        <v>45621</v>
      </c>
      <c r="L2562" s="1" t="s">
        <v>20</v>
      </c>
      <c r="M2562" s="1" t="s">
        <v>22</v>
      </c>
      <c r="N2562" s="5">
        <v>45621</v>
      </c>
    </row>
    <row r="2563" spans="1:14" x14ac:dyDescent="0.3">
      <c r="A2563" s="1" t="str">
        <f>"28_659-11/2024/Ч"</f>
        <v>28_659-11/2024/Ч</v>
      </c>
      <c r="B2563" s="6">
        <v>45621</v>
      </c>
      <c r="C2563" s="1" t="str">
        <f>"00038"</f>
        <v>00038</v>
      </c>
      <c r="D256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563" s="1" t="s">
        <v>20</v>
      </c>
      <c r="F2563" s="1" t="str">
        <f t="shared" si="360"/>
        <v>Центр надання адміністративних послуг Рогатинської міської ради</v>
      </c>
      <c r="G2563" s="1" t="str">
        <f>"Фізична особа"</f>
        <v>Фізична особа</v>
      </c>
      <c r="H2563" s="1" t="s">
        <v>20</v>
      </c>
      <c r="I2563" s="1" t="s">
        <v>20</v>
      </c>
      <c r="J2563" s="1" t="str">
        <f t="shared" si="357"/>
        <v>Закрито</v>
      </c>
      <c r="K2563" s="5">
        <v>45621</v>
      </c>
      <c r="L2563" s="1" t="s">
        <v>20</v>
      </c>
      <c r="M2563" s="1" t="s">
        <v>22</v>
      </c>
      <c r="N2563" s="5">
        <v>45621</v>
      </c>
    </row>
    <row r="2564" spans="1:14" x14ac:dyDescent="0.3">
      <c r="A2564" s="1" t="str">
        <f>"2_2114/2129-11/2024/Р"</f>
        <v>2_2114/2129-11/2024/Р</v>
      </c>
      <c r="B2564" s="6">
        <v>45621</v>
      </c>
      <c r="C2564" s="1" t="str">
        <f>"00041"</f>
        <v>00041</v>
      </c>
      <c r="D256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64" s="1" t="s">
        <v>20</v>
      </c>
      <c r="F2564" s="1" t="str">
        <f t="shared" si="360"/>
        <v>Центр надання адміністративних послуг Рогатинської міської ради</v>
      </c>
      <c r="G2564" s="1" t="str">
        <f>"Юридична особа"</f>
        <v>Юридична особа</v>
      </c>
      <c r="H2564" s="1" t="str">
        <f>"РОГАТИНСЬКА МІСЬКА РАДА"</f>
        <v>РОГАТИНСЬКА МІСЬКА РАДА</v>
      </c>
      <c r="I2564" s="1" t="str">
        <f>"04054323"</f>
        <v>04054323</v>
      </c>
      <c r="J2564" s="1" t="str">
        <f t="shared" si="357"/>
        <v>Закрито</v>
      </c>
      <c r="K2564" s="5">
        <v>45621</v>
      </c>
      <c r="L2564" s="1" t="s">
        <v>20</v>
      </c>
      <c r="M2564" s="1" t="s">
        <v>22</v>
      </c>
      <c r="N2564" s="5">
        <v>45621</v>
      </c>
    </row>
    <row r="2565" spans="1:14" x14ac:dyDescent="0.3">
      <c r="A2565" s="1" t="str">
        <f>"2_2115/2129-11/2024/Р"</f>
        <v>2_2115/2129-11/2024/Р</v>
      </c>
      <c r="B2565" s="6">
        <v>45621</v>
      </c>
      <c r="C2565" s="1" t="str">
        <f>"00041"</f>
        <v>00041</v>
      </c>
      <c r="D256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65" s="1" t="s">
        <v>20</v>
      </c>
      <c r="F2565" s="1" t="str">
        <f t="shared" si="360"/>
        <v>Центр надання адміністративних послуг Рогатинської міської ради</v>
      </c>
      <c r="G2565" s="1" t="str">
        <f>"Юридична особа"</f>
        <v>Юридична особа</v>
      </c>
      <c r="H2565" s="1" t="str">
        <f>"РОГАТИНСЬКА МІСЬКА РАДА"</f>
        <v>РОГАТИНСЬКА МІСЬКА РАДА</v>
      </c>
      <c r="I2565" s="1" t="str">
        <f>"04054323"</f>
        <v>04054323</v>
      </c>
      <c r="J2565" s="1" t="str">
        <f t="shared" si="357"/>
        <v>Закрито</v>
      </c>
      <c r="K2565" s="5">
        <v>45621</v>
      </c>
      <c r="L2565" s="1" t="s">
        <v>20</v>
      </c>
      <c r="M2565" s="1" t="s">
        <v>22</v>
      </c>
      <c r="N2565" s="5">
        <v>45621</v>
      </c>
    </row>
    <row r="2566" spans="1:14" x14ac:dyDescent="0.3">
      <c r="A2566" s="1" t="str">
        <f>"2_2116/2129-11/2024/Р"</f>
        <v>2_2116/2129-11/2024/Р</v>
      </c>
      <c r="B2566" s="6">
        <v>45621</v>
      </c>
      <c r="C2566" s="1" t="str">
        <f>"00041"</f>
        <v>00041</v>
      </c>
      <c r="D256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66" s="1" t="s">
        <v>20</v>
      </c>
      <c r="F2566" s="1" t="str">
        <f t="shared" si="360"/>
        <v>Центр надання адміністративних послуг Рогатинської міської ради</v>
      </c>
      <c r="G2566" s="1" t="str">
        <f>"Юридична особа"</f>
        <v>Юридична особа</v>
      </c>
      <c r="H2566" s="1" t="str">
        <f>"РОГАТИНСЬКА МІСЬКА РАДА"</f>
        <v>РОГАТИНСЬКА МІСЬКА РАДА</v>
      </c>
      <c r="I2566" s="1" t="str">
        <f>"04054323"</f>
        <v>04054323</v>
      </c>
      <c r="J2566" s="1" t="str">
        <f t="shared" si="357"/>
        <v>Закрито</v>
      </c>
      <c r="K2566" s="5">
        <v>45621</v>
      </c>
      <c r="L2566" s="1" t="s">
        <v>20</v>
      </c>
      <c r="M2566" s="1" t="s">
        <v>22</v>
      </c>
      <c r="N2566" s="5">
        <v>45621</v>
      </c>
    </row>
    <row r="2567" spans="1:14" x14ac:dyDescent="0.3">
      <c r="A2567" s="1" t="str">
        <f>"2_2117/2129-11/2024/Р"</f>
        <v>2_2117/2129-11/2024/Р</v>
      </c>
      <c r="B2567" s="6">
        <v>45621</v>
      </c>
      <c r="C2567" s="1" t="str">
        <f>"00041"</f>
        <v>00041</v>
      </c>
      <c r="D256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67" s="1" t="s">
        <v>20</v>
      </c>
      <c r="F2567" s="1" t="str">
        <f t="shared" si="360"/>
        <v>Центр надання адміністративних послуг Рогатинської міської ради</v>
      </c>
      <c r="G2567" s="1" t="str">
        <f>"Юридична особа"</f>
        <v>Юридична особа</v>
      </c>
      <c r="H2567" s="1" t="str">
        <f>"РОГАТИНСЬКА МІСЬКА РАДА"</f>
        <v>РОГАТИНСЬКА МІСЬКА РАДА</v>
      </c>
      <c r="I2567" s="1" t="str">
        <f>"04054323"</f>
        <v>04054323</v>
      </c>
      <c r="J2567" s="1" t="str">
        <f t="shared" si="357"/>
        <v>Закрито</v>
      </c>
      <c r="K2567" s="5">
        <v>45621</v>
      </c>
      <c r="L2567" s="1" t="s">
        <v>20</v>
      </c>
      <c r="M2567" s="1" t="s">
        <v>22</v>
      </c>
      <c r="N2567" s="5">
        <v>45621</v>
      </c>
    </row>
    <row r="2568" spans="1:14" x14ac:dyDescent="0.3">
      <c r="A2568" s="1" t="str">
        <f>"2_2118/2129-11/2024/Р"</f>
        <v>2_2118/2129-11/2024/Р</v>
      </c>
      <c r="B2568" s="6">
        <v>45621</v>
      </c>
      <c r="C2568" s="1" t="str">
        <f>"00041"</f>
        <v>00041</v>
      </c>
      <c r="D256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68" s="1" t="s">
        <v>20</v>
      </c>
      <c r="F2568" s="1" t="str">
        <f t="shared" si="360"/>
        <v>Центр надання адміністративних послуг Рогатинської міської ради</v>
      </c>
      <c r="G2568" s="1" t="str">
        <f>"Юридична особа"</f>
        <v>Юридична особа</v>
      </c>
      <c r="H2568" s="1" t="str">
        <f>"РОГАТИНСЬКА МІСЬКА РАДА"</f>
        <v>РОГАТИНСЬКА МІСЬКА РАДА</v>
      </c>
      <c r="I2568" s="1" t="str">
        <f>"04054323"</f>
        <v>04054323</v>
      </c>
      <c r="J2568" s="1" t="str">
        <f t="shared" si="357"/>
        <v>Закрито</v>
      </c>
      <c r="K2568" s="5">
        <v>45621</v>
      </c>
      <c r="L2568" s="1" t="s">
        <v>20</v>
      </c>
      <c r="M2568" s="1" t="s">
        <v>22</v>
      </c>
      <c r="N2568" s="5">
        <v>45621</v>
      </c>
    </row>
    <row r="2569" spans="1:14" x14ac:dyDescent="0.3">
      <c r="A2569" s="1" t="str">
        <f>"9_1706/04054323-11/2024/Т"</f>
        <v>9_1706/04054323-11/2024/Т</v>
      </c>
      <c r="B2569" s="6">
        <v>45621</v>
      </c>
      <c r="C2569" s="1" t="str">
        <f>"01-2"</f>
        <v>01-2</v>
      </c>
      <c r="D2569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виробництва"</f>
        <v>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</v>
      </c>
      <c r="E2569" s="1" t="str">
        <f>"04054323"</f>
        <v>04054323</v>
      </c>
      <c r="F2569" s="1" t="str">
        <f>"Рогатинська міська рада"</f>
        <v>Рогатинська міська рада</v>
      </c>
      <c r="G2569" s="1" t="str">
        <f>"Фізична особа"</f>
        <v>Фізична особа</v>
      </c>
      <c r="H2569" s="1" t="s">
        <v>20</v>
      </c>
      <c r="I2569" s="1" t="s">
        <v>20</v>
      </c>
      <c r="J2569" s="1" t="str">
        <f>"На обробці в СНАП"</f>
        <v>На обробці в СНАП</v>
      </c>
      <c r="K2569" s="1" t="s">
        <v>20</v>
      </c>
      <c r="L2569" s="1" t="s">
        <v>20</v>
      </c>
      <c r="M2569" s="1" t="s">
        <v>22</v>
      </c>
      <c r="N2569" s="1" t="s">
        <v>20</v>
      </c>
    </row>
    <row r="2570" spans="1:14" x14ac:dyDescent="0.3">
      <c r="A2570" s="1" t="str">
        <f>"2_2119/2129-11/2024/Р"</f>
        <v>2_2119/2129-11/2024/Р</v>
      </c>
      <c r="B2570" s="6">
        <v>45621</v>
      </c>
      <c r="C2570" s="1" t="str">
        <f>"00041"</f>
        <v>00041</v>
      </c>
      <c r="D257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70" s="1" t="s">
        <v>20</v>
      </c>
      <c r="F257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70" s="1" t="str">
        <f>"Юридична особа"</f>
        <v>Юридична особа</v>
      </c>
      <c r="H2570" s="1" t="str">
        <f>"РОГАТИНСЬКА МІСЬКА РАДА"</f>
        <v>РОГАТИНСЬКА МІСЬКА РАДА</v>
      </c>
      <c r="I2570" s="1" t="str">
        <f>"04054323"</f>
        <v>04054323</v>
      </c>
      <c r="J2570" s="1" t="str">
        <f t="shared" ref="J2570:J2581" si="364">"Закрито"</f>
        <v>Закрито</v>
      </c>
      <c r="K2570" s="5">
        <v>45621</v>
      </c>
      <c r="L2570" s="1" t="s">
        <v>20</v>
      </c>
      <c r="M2570" s="1" t="s">
        <v>22</v>
      </c>
      <c r="N2570" s="5">
        <v>45621</v>
      </c>
    </row>
    <row r="2571" spans="1:14" x14ac:dyDescent="0.3">
      <c r="A2571" s="1" t="str">
        <f>"2_2120/2129-11/2024/Р"</f>
        <v>2_2120/2129-11/2024/Р</v>
      </c>
      <c r="B2571" s="6">
        <v>45621</v>
      </c>
      <c r="C2571" s="1" t="str">
        <f>"00041"</f>
        <v>00041</v>
      </c>
      <c r="D257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71" s="1" t="s">
        <v>20</v>
      </c>
      <c r="F257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71" s="1" t="str">
        <f>"Юридична особа"</f>
        <v>Юридична особа</v>
      </c>
      <c r="H2571" s="1" t="str">
        <f>"РОГАТИНСЬКА МІСЬКА РАДА"</f>
        <v>РОГАТИНСЬКА МІСЬКА РАДА</v>
      </c>
      <c r="I2571" s="1" t="str">
        <f>"04054323"</f>
        <v>04054323</v>
      </c>
      <c r="J2571" s="1" t="str">
        <f t="shared" si="364"/>
        <v>Закрито</v>
      </c>
      <c r="K2571" s="5">
        <v>45621</v>
      </c>
      <c r="L2571" s="1" t="s">
        <v>20</v>
      </c>
      <c r="M2571" s="1" t="s">
        <v>22</v>
      </c>
      <c r="N2571" s="5">
        <v>45621</v>
      </c>
    </row>
    <row r="2572" spans="1:14" x14ac:dyDescent="0.3">
      <c r="A2572" s="1" t="str">
        <f>"2_2121/2129-11/2024/Р"</f>
        <v>2_2121/2129-11/2024/Р</v>
      </c>
      <c r="B2572" s="6">
        <v>45621</v>
      </c>
      <c r="C2572" s="1" t="str">
        <f>"00041"</f>
        <v>00041</v>
      </c>
      <c r="D257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72" s="1" t="s">
        <v>20</v>
      </c>
      <c r="F257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72" s="1" t="str">
        <f>"Юридична особа"</f>
        <v>Юридична особа</v>
      </c>
      <c r="H2572" s="1" t="str">
        <f>"РОГАТИНСЬКА МІСЬКА РАДА"</f>
        <v>РОГАТИНСЬКА МІСЬКА РАДА</v>
      </c>
      <c r="I2572" s="1" t="str">
        <f>"04054323"</f>
        <v>04054323</v>
      </c>
      <c r="J2572" s="1" t="str">
        <f t="shared" si="364"/>
        <v>Закрито</v>
      </c>
      <c r="K2572" s="5">
        <v>45621</v>
      </c>
      <c r="L2572" s="1" t="s">
        <v>20</v>
      </c>
      <c r="M2572" s="1" t="s">
        <v>22</v>
      </c>
      <c r="N2572" s="5">
        <v>45621</v>
      </c>
    </row>
    <row r="2573" spans="1:14" x14ac:dyDescent="0.3">
      <c r="A2573" s="1" t="str">
        <f>"25_442-11/2024/Л"</f>
        <v>25_442-11/2024/Л</v>
      </c>
      <c r="B2573" s="6">
        <v>45621</v>
      </c>
      <c r="C2573" s="1" t="str">
        <f>"00038"</f>
        <v>00038</v>
      </c>
      <c r="D257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573" s="1" t="s">
        <v>20</v>
      </c>
      <c r="F257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73" s="1" t="str">
        <f>"Фізична особа"</f>
        <v>Фізична особа</v>
      </c>
      <c r="H2573" s="1" t="s">
        <v>20</v>
      </c>
      <c r="I2573" s="1" t="s">
        <v>20</v>
      </c>
      <c r="J2573" s="1" t="str">
        <f t="shared" si="364"/>
        <v>Закрито</v>
      </c>
      <c r="K2573" s="5">
        <v>45621</v>
      </c>
      <c r="L2573" s="1" t="s">
        <v>20</v>
      </c>
      <c r="M2573" s="1" t="s">
        <v>22</v>
      </c>
      <c r="N2573" s="5">
        <v>45621</v>
      </c>
    </row>
    <row r="2574" spans="1:14" x14ac:dyDescent="0.3">
      <c r="A2574" s="1" t="str">
        <f>"3_876-11/2024/К"</f>
        <v>3_876-11/2024/К</v>
      </c>
      <c r="B2574" s="6">
        <v>45621</v>
      </c>
      <c r="C2574" s="1" t="str">
        <f>"00155"</f>
        <v>00155</v>
      </c>
      <c r="D2574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74" s="1" t="str">
        <f>"03193413"</f>
        <v>03193413</v>
      </c>
      <c r="F257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74" s="1" t="str">
        <f>"Фізична особа"</f>
        <v>Фізична особа</v>
      </c>
      <c r="H2574" s="1" t="s">
        <v>20</v>
      </c>
      <c r="I2574" s="1" t="s">
        <v>20</v>
      </c>
      <c r="J2574" s="1" t="str">
        <f t="shared" si="364"/>
        <v>Закрито</v>
      </c>
      <c r="K2574" s="5">
        <v>45632</v>
      </c>
      <c r="L2574" s="1" t="s">
        <v>20</v>
      </c>
      <c r="M2574" s="1" t="s">
        <v>22</v>
      </c>
      <c r="N2574" s="5">
        <v>45632</v>
      </c>
    </row>
    <row r="2575" spans="1:14" x14ac:dyDescent="0.3">
      <c r="A2575" s="1" t="str">
        <f>"2_2122/2129-11/2024/Р"</f>
        <v>2_2122/2129-11/2024/Р</v>
      </c>
      <c r="B2575" s="6">
        <v>45621</v>
      </c>
      <c r="C2575" s="1" t="str">
        <f>"00041"</f>
        <v>00041</v>
      </c>
      <c r="D257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75" s="1" t="s">
        <v>20</v>
      </c>
      <c r="F25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75" s="1" t="str">
        <f>"Юридична особа"</f>
        <v>Юридична особа</v>
      </c>
      <c r="H2575" s="1" t="str">
        <f>"РОГАТИНСЬКА МІСЬКА РАДА"</f>
        <v>РОГАТИНСЬКА МІСЬКА РАДА</v>
      </c>
      <c r="I2575" s="1" t="str">
        <f>"04054323"</f>
        <v>04054323</v>
      </c>
      <c r="J2575" s="1" t="str">
        <f t="shared" si="364"/>
        <v>Закрито</v>
      </c>
      <c r="K2575" s="5">
        <v>45621</v>
      </c>
      <c r="L2575" s="1" t="s">
        <v>20</v>
      </c>
      <c r="M2575" s="1" t="s">
        <v>22</v>
      </c>
      <c r="N2575" s="5">
        <v>45621</v>
      </c>
    </row>
    <row r="2576" spans="1:14" x14ac:dyDescent="0.3">
      <c r="A2576" s="1" t="str">
        <f>"2_2123/2129-11/2024/Р"</f>
        <v>2_2123/2129-11/2024/Р</v>
      </c>
      <c r="B2576" s="6">
        <v>45621</v>
      </c>
      <c r="C2576" s="1" t="str">
        <f>"00041"</f>
        <v>00041</v>
      </c>
      <c r="D257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76" s="1" t="s">
        <v>20</v>
      </c>
      <c r="F257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76" s="1" t="str">
        <f>"Юридична особа"</f>
        <v>Юридична особа</v>
      </c>
      <c r="H2576" s="1" t="str">
        <f>"РОГАТИНСЬКА МІСЬКА РАДА"</f>
        <v>РОГАТИНСЬКА МІСЬКА РАДА</v>
      </c>
      <c r="I2576" s="1" t="str">
        <f>"04054323"</f>
        <v>04054323</v>
      </c>
      <c r="J2576" s="1" t="str">
        <f t="shared" si="364"/>
        <v>Закрито</v>
      </c>
      <c r="K2576" s="5">
        <v>45621</v>
      </c>
      <c r="L2576" s="1" t="s">
        <v>20</v>
      </c>
      <c r="M2576" s="1" t="s">
        <v>22</v>
      </c>
      <c r="N2576" s="5">
        <v>45621</v>
      </c>
    </row>
    <row r="2577" spans="1:14" x14ac:dyDescent="0.3">
      <c r="A2577" s="1" t="str">
        <f>"35_519-11/2024/Х"</f>
        <v>35_519-11/2024/Х</v>
      </c>
      <c r="B2577" s="6">
        <v>45621</v>
      </c>
      <c r="C2577" s="1" t="str">
        <f>"33"</f>
        <v>33</v>
      </c>
      <c r="D2577" s="2" t="str">
        <f>"33 Довідки різного характеру"</f>
        <v>33 Довідки різного характеру</v>
      </c>
      <c r="E2577" s="1" t="s">
        <v>20</v>
      </c>
      <c r="F257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77" s="1" t="str">
        <f>"Фізична особа"</f>
        <v>Фізична особа</v>
      </c>
      <c r="H2577" s="1" t="s">
        <v>20</v>
      </c>
      <c r="I2577" s="1" t="s">
        <v>20</v>
      </c>
      <c r="J2577" s="1" t="str">
        <f t="shared" si="364"/>
        <v>Закрито</v>
      </c>
      <c r="K2577" s="5">
        <v>45621</v>
      </c>
      <c r="L2577" s="1" t="s">
        <v>20</v>
      </c>
      <c r="M2577" s="1" t="s">
        <v>22</v>
      </c>
      <c r="N2577" s="5">
        <v>45621</v>
      </c>
    </row>
    <row r="2578" spans="1:14" x14ac:dyDescent="0.3">
      <c r="A2578" s="1" t="str">
        <f>"6_357/04054323-11/2024/П"</f>
        <v>6_357/04054323-11/2024/П</v>
      </c>
      <c r="B2578" s="6">
        <v>45621</v>
      </c>
      <c r="C2578" s="1" t="str">
        <f>"00190"</f>
        <v>00190</v>
      </c>
      <c r="D2578" s="2" t="str">
        <f>"Оформлення паспорта прив’язки тимчасової споруди для провадження підприємницької діяльності"</f>
        <v>Оформлення паспорта прив’язки тимчасової споруди для провадження підприємницької діяльності</v>
      </c>
      <c r="E2578" s="1" t="str">
        <f>"04054323"</f>
        <v>04054323</v>
      </c>
      <c r="F2578" s="1" t="str">
        <f>"Рогатинська міська рада"</f>
        <v>Рогатинська міська рада</v>
      </c>
      <c r="G2578" s="1" t="str">
        <f>"Фізична особа"</f>
        <v>Фізична особа</v>
      </c>
      <c r="H2578" s="1" t="s">
        <v>20</v>
      </c>
      <c r="I2578" s="1" t="s">
        <v>20</v>
      </c>
      <c r="J2578" s="1" t="str">
        <f t="shared" si="364"/>
        <v>Закрито</v>
      </c>
      <c r="K2578" s="5">
        <v>45623</v>
      </c>
      <c r="L2578" s="1" t="s">
        <v>20</v>
      </c>
      <c r="M2578" s="1" t="s">
        <v>22</v>
      </c>
      <c r="N2578" s="5">
        <v>45623</v>
      </c>
    </row>
    <row r="2579" spans="1:14" x14ac:dyDescent="0.3">
      <c r="A2579" s="1" t="str">
        <f>"2_2124/2129-11/2024/Р"</f>
        <v>2_2124/2129-11/2024/Р</v>
      </c>
      <c r="B2579" s="6">
        <v>45621</v>
      </c>
      <c r="C2579" s="1" t="str">
        <f>"00041"</f>
        <v>00041</v>
      </c>
      <c r="D257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79" s="1" t="s">
        <v>20</v>
      </c>
      <c r="F257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79" s="1" t="str">
        <f>"Юридична особа"</f>
        <v>Юридична особа</v>
      </c>
      <c r="H2579" s="1" t="str">
        <f>"РОГАТИНСЬКА МІСЬКА РАДА"</f>
        <v>РОГАТИНСЬКА МІСЬКА РАДА</v>
      </c>
      <c r="I2579" s="1" t="str">
        <f>"04054323"</f>
        <v>04054323</v>
      </c>
      <c r="J2579" s="1" t="str">
        <f t="shared" si="364"/>
        <v>Закрито</v>
      </c>
      <c r="K2579" s="5">
        <v>45621</v>
      </c>
      <c r="L2579" s="1" t="s">
        <v>20</v>
      </c>
      <c r="M2579" s="1" t="s">
        <v>22</v>
      </c>
      <c r="N2579" s="5">
        <v>45621</v>
      </c>
    </row>
    <row r="2580" spans="1:14" x14ac:dyDescent="0.3">
      <c r="A2580" s="1" t="str">
        <f>"2_2125/2129-11/2024/Р"</f>
        <v>2_2125/2129-11/2024/Р</v>
      </c>
      <c r="B2580" s="6">
        <v>45621</v>
      </c>
      <c r="C2580" s="1" t="str">
        <f>"00041"</f>
        <v>00041</v>
      </c>
      <c r="D258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80" s="1" t="s">
        <v>20</v>
      </c>
      <c r="F258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80" s="1" t="str">
        <f>"Юридична особа"</f>
        <v>Юридична особа</v>
      </c>
      <c r="H2580" s="1" t="str">
        <f>"РОГАТИНСЬКА МІСЬКА РАДА"</f>
        <v>РОГАТИНСЬКА МІСЬКА РАДА</v>
      </c>
      <c r="I2580" s="1" t="str">
        <f>"04054323"</f>
        <v>04054323</v>
      </c>
      <c r="J2580" s="1" t="str">
        <f t="shared" si="364"/>
        <v>Закрито</v>
      </c>
      <c r="K2580" s="5">
        <v>45621</v>
      </c>
      <c r="L2580" s="1" t="s">
        <v>20</v>
      </c>
      <c r="M2580" s="1" t="s">
        <v>22</v>
      </c>
      <c r="N2580" s="5">
        <v>45621</v>
      </c>
    </row>
    <row r="2581" spans="1:14" x14ac:dyDescent="0.3">
      <c r="A2581" s="1" t="str">
        <f>"2_2126/2129-11/2024/Р"</f>
        <v>2_2126/2129-11/2024/Р</v>
      </c>
      <c r="B2581" s="6">
        <v>45621</v>
      </c>
      <c r="C2581" s="1" t="str">
        <f>"00041"</f>
        <v>00041</v>
      </c>
      <c r="D258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81" s="1" t="s">
        <v>20</v>
      </c>
      <c r="F258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81" s="1" t="str">
        <f>"Юридична особа"</f>
        <v>Юридична особа</v>
      </c>
      <c r="H2581" s="1" t="str">
        <f>"РОГАТИНСЬКА МІСЬКА РАДА"</f>
        <v>РОГАТИНСЬКА МІСЬКА РАДА</v>
      </c>
      <c r="I2581" s="1" t="str">
        <f>"04054323"</f>
        <v>04054323</v>
      </c>
      <c r="J2581" s="1" t="str">
        <f t="shared" si="364"/>
        <v>Закрито</v>
      </c>
      <c r="K2581" s="5">
        <v>45621</v>
      </c>
      <c r="L2581" s="1" t="s">
        <v>20</v>
      </c>
      <c r="M2581" s="1" t="s">
        <v>22</v>
      </c>
      <c r="N2581" s="5">
        <v>45621</v>
      </c>
    </row>
    <row r="2582" spans="1:14" x14ac:dyDescent="0.3">
      <c r="A2582" s="1" t="str">
        <f>"27_596-11/2024/С"</f>
        <v>27_596-11/2024/С</v>
      </c>
      <c r="B2582" s="6">
        <v>45621</v>
      </c>
      <c r="C2582" s="1" t="str">
        <f>"00155"</f>
        <v>00155</v>
      </c>
      <c r="D2582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582" s="1" t="str">
        <f>"03193413"</f>
        <v>03193413</v>
      </c>
      <c r="F258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82" s="1" t="str">
        <f>"Фізична особа"</f>
        <v>Фізична особа</v>
      </c>
      <c r="H2582" s="1" t="s">
        <v>20</v>
      </c>
      <c r="I2582" s="1" t="s">
        <v>20</v>
      </c>
      <c r="J2582" s="1" t="str">
        <f>"На обробці в СНАП"</f>
        <v>На обробці в СНАП</v>
      </c>
      <c r="K2582" s="1" t="s">
        <v>20</v>
      </c>
      <c r="L2582" s="1" t="s">
        <v>20</v>
      </c>
      <c r="M2582" s="1" t="s">
        <v>22</v>
      </c>
      <c r="N2582" s="1" t="s">
        <v>20</v>
      </c>
    </row>
    <row r="2583" spans="1:14" x14ac:dyDescent="0.3">
      <c r="A2583" s="1" t="str">
        <f>"2_2127/2129-11/2024/Р"</f>
        <v>2_2127/2129-11/2024/Р</v>
      </c>
      <c r="B2583" s="6">
        <v>45621</v>
      </c>
      <c r="C2583" s="1" t="str">
        <f t="shared" ref="C2583:C2589" si="365">"00041"</f>
        <v>00041</v>
      </c>
      <c r="D2583" s="2" t="str">
        <f t="shared" ref="D2583:D2589" si="366"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83" s="1" t="s">
        <v>20</v>
      </c>
      <c r="F2583" s="1" t="str">
        <f t="shared" ref="F2583:F2589" si="367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83" s="1" t="str">
        <f t="shared" ref="G2583:G2589" si="368">"Юридична особа"</f>
        <v>Юридична особа</v>
      </c>
      <c r="H2583" s="1" t="str">
        <f t="shared" ref="H2583:H2589" si="369">"РОГАТИНСЬКА МІСЬКА РАДА"</f>
        <v>РОГАТИНСЬКА МІСЬКА РАДА</v>
      </c>
      <c r="I2583" s="1" t="str">
        <f t="shared" ref="I2583:I2589" si="370">"04054323"</f>
        <v>04054323</v>
      </c>
      <c r="J2583" s="1" t="str">
        <f t="shared" ref="J2583:J2590" si="371">"Закрито"</f>
        <v>Закрито</v>
      </c>
      <c r="K2583" s="5">
        <v>45621</v>
      </c>
      <c r="L2583" s="1" t="s">
        <v>20</v>
      </c>
      <c r="M2583" s="1" t="s">
        <v>22</v>
      </c>
      <c r="N2583" s="5">
        <v>45621</v>
      </c>
    </row>
    <row r="2584" spans="1:14" x14ac:dyDescent="0.3">
      <c r="A2584" s="1" t="str">
        <f>"2_2128/2129-11/2024/Р"</f>
        <v>2_2128/2129-11/2024/Р</v>
      </c>
      <c r="B2584" s="6">
        <v>45621</v>
      </c>
      <c r="C2584" s="1" t="str">
        <f t="shared" si="365"/>
        <v>00041</v>
      </c>
      <c r="D2584" s="2" t="str">
        <f t="shared" si="366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84" s="1" t="s">
        <v>20</v>
      </c>
      <c r="F2584" s="1" t="str">
        <f t="shared" si="367"/>
        <v>Центр надання адміністративних послуг Рогатинської міської ради</v>
      </c>
      <c r="G2584" s="1" t="str">
        <f t="shared" si="368"/>
        <v>Юридична особа</v>
      </c>
      <c r="H2584" s="1" t="str">
        <f t="shared" si="369"/>
        <v>РОГАТИНСЬКА МІСЬКА РАДА</v>
      </c>
      <c r="I2584" s="1" t="str">
        <f t="shared" si="370"/>
        <v>04054323</v>
      </c>
      <c r="J2584" s="1" t="str">
        <f t="shared" si="371"/>
        <v>Закрито</v>
      </c>
      <c r="K2584" s="5">
        <v>45621</v>
      </c>
      <c r="L2584" s="1" t="s">
        <v>20</v>
      </c>
      <c r="M2584" s="1" t="s">
        <v>22</v>
      </c>
      <c r="N2584" s="5">
        <v>45621</v>
      </c>
    </row>
    <row r="2585" spans="1:14" x14ac:dyDescent="0.3">
      <c r="A2585" s="1" t="str">
        <f>"2_2129/2129-11/2024/Р"</f>
        <v>2_2129/2129-11/2024/Р</v>
      </c>
      <c r="B2585" s="6">
        <v>45621</v>
      </c>
      <c r="C2585" s="1" t="str">
        <f t="shared" si="365"/>
        <v>00041</v>
      </c>
      <c r="D2585" s="2" t="str">
        <f t="shared" si="366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85" s="1" t="s">
        <v>20</v>
      </c>
      <c r="F2585" s="1" t="str">
        <f t="shared" si="367"/>
        <v>Центр надання адміністративних послуг Рогатинської міської ради</v>
      </c>
      <c r="G2585" s="1" t="str">
        <f t="shared" si="368"/>
        <v>Юридична особа</v>
      </c>
      <c r="H2585" s="1" t="str">
        <f t="shared" si="369"/>
        <v>РОГАТИНСЬКА МІСЬКА РАДА</v>
      </c>
      <c r="I2585" s="1" t="str">
        <f t="shared" si="370"/>
        <v>04054323</v>
      </c>
      <c r="J2585" s="1" t="str">
        <f t="shared" si="371"/>
        <v>Закрито</v>
      </c>
      <c r="K2585" s="5">
        <v>45621</v>
      </c>
      <c r="L2585" s="1" t="s">
        <v>20</v>
      </c>
      <c r="M2585" s="1" t="s">
        <v>22</v>
      </c>
      <c r="N2585" s="5">
        <v>45621</v>
      </c>
    </row>
    <row r="2586" spans="1:14" x14ac:dyDescent="0.3">
      <c r="A2586" s="1" t="str">
        <f>"2_2130/2129-11/2024/Р"</f>
        <v>2_2130/2129-11/2024/Р</v>
      </c>
      <c r="B2586" s="6">
        <v>45621</v>
      </c>
      <c r="C2586" s="1" t="str">
        <f t="shared" si="365"/>
        <v>00041</v>
      </c>
      <c r="D2586" s="2" t="str">
        <f t="shared" si="366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86" s="1" t="s">
        <v>20</v>
      </c>
      <c r="F2586" s="1" t="str">
        <f t="shared" si="367"/>
        <v>Центр надання адміністративних послуг Рогатинської міської ради</v>
      </c>
      <c r="G2586" s="1" t="str">
        <f t="shared" si="368"/>
        <v>Юридична особа</v>
      </c>
      <c r="H2586" s="1" t="str">
        <f t="shared" si="369"/>
        <v>РОГАТИНСЬКА МІСЬКА РАДА</v>
      </c>
      <c r="I2586" s="1" t="str">
        <f t="shared" si="370"/>
        <v>04054323</v>
      </c>
      <c r="J2586" s="1" t="str">
        <f t="shared" si="371"/>
        <v>Закрито</v>
      </c>
      <c r="K2586" s="5">
        <v>45621</v>
      </c>
      <c r="L2586" s="1" t="s">
        <v>20</v>
      </c>
      <c r="M2586" s="1" t="s">
        <v>22</v>
      </c>
      <c r="N2586" s="5">
        <v>45621</v>
      </c>
    </row>
    <row r="2587" spans="1:14" x14ac:dyDescent="0.3">
      <c r="A2587" s="1" t="str">
        <f>"2_2131/2129-11/2024/Р"</f>
        <v>2_2131/2129-11/2024/Р</v>
      </c>
      <c r="B2587" s="6">
        <v>45621</v>
      </c>
      <c r="C2587" s="1" t="str">
        <f t="shared" si="365"/>
        <v>00041</v>
      </c>
      <c r="D2587" s="2" t="str">
        <f t="shared" si="366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87" s="1" t="s">
        <v>20</v>
      </c>
      <c r="F2587" s="1" t="str">
        <f t="shared" si="367"/>
        <v>Центр надання адміністративних послуг Рогатинської міської ради</v>
      </c>
      <c r="G2587" s="1" t="str">
        <f t="shared" si="368"/>
        <v>Юридична особа</v>
      </c>
      <c r="H2587" s="1" t="str">
        <f t="shared" si="369"/>
        <v>РОГАТИНСЬКА МІСЬКА РАДА</v>
      </c>
      <c r="I2587" s="1" t="str">
        <f t="shared" si="370"/>
        <v>04054323</v>
      </c>
      <c r="J2587" s="1" t="str">
        <f t="shared" si="371"/>
        <v>Закрито</v>
      </c>
      <c r="K2587" s="5">
        <v>45621</v>
      </c>
      <c r="L2587" s="1" t="s">
        <v>20</v>
      </c>
      <c r="M2587" s="1" t="s">
        <v>22</v>
      </c>
      <c r="N2587" s="5">
        <v>45621</v>
      </c>
    </row>
    <row r="2588" spans="1:14" x14ac:dyDescent="0.3">
      <c r="A2588" s="1" t="str">
        <f>"2_2132/2129-11/2024/Р"</f>
        <v>2_2132/2129-11/2024/Р</v>
      </c>
      <c r="B2588" s="6">
        <v>45621</v>
      </c>
      <c r="C2588" s="1" t="str">
        <f t="shared" si="365"/>
        <v>00041</v>
      </c>
      <c r="D2588" s="2" t="str">
        <f t="shared" si="366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88" s="1" t="s">
        <v>20</v>
      </c>
      <c r="F2588" s="1" t="str">
        <f t="shared" si="367"/>
        <v>Центр надання адміністративних послуг Рогатинської міської ради</v>
      </c>
      <c r="G2588" s="1" t="str">
        <f t="shared" si="368"/>
        <v>Юридична особа</v>
      </c>
      <c r="H2588" s="1" t="str">
        <f t="shared" si="369"/>
        <v>РОГАТИНСЬКА МІСЬКА РАДА</v>
      </c>
      <c r="I2588" s="1" t="str">
        <f t="shared" si="370"/>
        <v>04054323</v>
      </c>
      <c r="J2588" s="1" t="str">
        <f t="shared" si="371"/>
        <v>Закрито</v>
      </c>
      <c r="K2588" s="5">
        <v>45621</v>
      </c>
      <c r="L2588" s="1" t="s">
        <v>20</v>
      </c>
      <c r="M2588" s="1" t="s">
        <v>22</v>
      </c>
      <c r="N2588" s="5">
        <v>45621</v>
      </c>
    </row>
    <row r="2589" spans="1:14" x14ac:dyDescent="0.3">
      <c r="A2589" s="1" t="str">
        <f>"2_2133/2129-11/2024/Р"</f>
        <v>2_2133/2129-11/2024/Р</v>
      </c>
      <c r="B2589" s="6">
        <v>45621</v>
      </c>
      <c r="C2589" s="1" t="str">
        <f t="shared" si="365"/>
        <v>00041</v>
      </c>
      <c r="D2589" s="2" t="str">
        <f t="shared" si="366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589" s="1" t="s">
        <v>20</v>
      </c>
      <c r="F2589" s="1" t="str">
        <f t="shared" si="367"/>
        <v>Центр надання адміністративних послуг Рогатинської міської ради</v>
      </c>
      <c r="G2589" s="1" t="str">
        <f t="shared" si="368"/>
        <v>Юридична особа</v>
      </c>
      <c r="H2589" s="1" t="str">
        <f t="shared" si="369"/>
        <v>РОГАТИНСЬКА МІСЬКА РАДА</v>
      </c>
      <c r="I2589" s="1" t="str">
        <f t="shared" si="370"/>
        <v>04054323</v>
      </c>
      <c r="J2589" s="1" t="str">
        <f t="shared" si="371"/>
        <v>Закрито</v>
      </c>
      <c r="K2589" s="5">
        <v>45621</v>
      </c>
      <c r="L2589" s="1" t="s">
        <v>20</v>
      </c>
      <c r="M2589" s="1" t="s">
        <v>22</v>
      </c>
      <c r="N2589" s="5">
        <v>45621</v>
      </c>
    </row>
    <row r="2590" spans="1:14" x14ac:dyDescent="0.3">
      <c r="A2590" s="1" t="str">
        <f>"6_358/04054323-11/2024/П"</f>
        <v>6_358/04054323-11/2024/П</v>
      </c>
      <c r="B2590" s="6">
        <v>45621</v>
      </c>
      <c r="C2590" s="1" t="str">
        <f>"00190"</f>
        <v>00190</v>
      </c>
      <c r="D2590" s="2" t="str">
        <f>"Оформлення паспорта прив’язки тимчасової споруди для провадження підприємницької діяльності"</f>
        <v>Оформлення паспорта прив’язки тимчасової споруди для провадження підприємницької діяльності</v>
      </c>
      <c r="E2590" s="1" t="str">
        <f>"04054323"</f>
        <v>04054323</v>
      </c>
      <c r="F2590" s="1" t="str">
        <f>"Рогатинська міська рада"</f>
        <v>Рогатинська міська рада</v>
      </c>
      <c r="G2590" s="1" t="str">
        <f t="shared" ref="G2590:G2633" si="372">"Фізична особа"</f>
        <v>Фізична особа</v>
      </c>
      <c r="H2590" s="1" t="s">
        <v>20</v>
      </c>
      <c r="I2590" s="1" t="s">
        <v>20</v>
      </c>
      <c r="J2590" s="1" t="str">
        <f t="shared" si="371"/>
        <v>Закрито</v>
      </c>
      <c r="K2590" s="5">
        <v>45623</v>
      </c>
      <c r="L2590" s="1" t="s">
        <v>20</v>
      </c>
      <c r="M2590" s="1" t="s">
        <v>22</v>
      </c>
      <c r="N2590" s="5">
        <v>45623</v>
      </c>
    </row>
    <row r="2591" spans="1:14" x14ac:dyDescent="0.3">
      <c r="A2591" s="1" t="str">
        <f>"29_477-11/2024/м"</f>
        <v>29_477-11/2024/м</v>
      </c>
      <c r="B2591" s="6">
        <v>45621</v>
      </c>
      <c r="C2591" s="1" t="str">
        <f>"00133"</f>
        <v>00133</v>
      </c>
      <c r="D2591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591" s="1" t="str">
        <f>"03193413"</f>
        <v>03193413</v>
      </c>
      <c r="F259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591" s="1" t="str">
        <f t="shared" si="372"/>
        <v>Фізична особа</v>
      </c>
      <c r="H2591" s="1" t="s">
        <v>20</v>
      </c>
      <c r="I2591" s="1" t="s">
        <v>20</v>
      </c>
      <c r="J2591" s="1" t="str">
        <f>"На обробці в СНАП"</f>
        <v>На обробці в СНАП</v>
      </c>
      <c r="K2591" s="1" t="s">
        <v>20</v>
      </c>
      <c r="L2591" s="1" t="s">
        <v>20</v>
      </c>
      <c r="M2591" s="1" t="s">
        <v>22</v>
      </c>
      <c r="N2591" s="1" t="s">
        <v>20</v>
      </c>
    </row>
    <row r="2592" spans="1:14" x14ac:dyDescent="0.3">
      <c r="A2592" s="1" t="str">
        <f>"27_597-11/2024/К"</f>
        <v>27_597-11/2024/К</v>
      </c>
      <c r="B2592" s="6">
        <v>45621</v>
      </c>
      <c r="C2592" s="1" t="str">
        <f>"00038"</f>
        <v>00038</v>
      </c>
      <c r="D259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592" s="1" t="s">
        <v>20</v>
      </c>
      <c r="F259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92" s="1" t="str">
        <f t="shared" si="372"/>
        <v>Фізична особа</v>
      </c>
      <c r="H2592" s="1" t="s">
        <v>20</v>
      </c>
      <c r="I2592" s="1" t="s">
        <v>20</v>
      </c>
      <c r="J2592" s="1" t="str">
        <f>"Закрито"</f>
        <v>Закрито</v>
      </c>
      <c r="K2592" s="5">
        <v>45621</v>
      </c>
      <c r="L2592" s="1" t="s">
        <v>20</v>
      </c>
      <c r="M2592" s="1" t="s">
        <v>22</v>
      </c>
      <c r="N2592" s="5">
        <v>45621</v>
      </c>
    </row>
    <row r="2593" spans="1:14" x14ac:dyDescent="0.3">
      <c r="A2593" s="1" t="str">
        <f>"9_1707/04054323-11/2024/Ш"</f>
        <v>9_1707/04054323-11/2024/Ш</v>
      </c>
      <c r="B2593" s="6">
        <v>45621</v>
      </c>
      <c r="C2593" s="1" t="str">
        <f>"01-1"</f>
        <v>01-1</v>
      </c>
      <c r="D2593" s="2" t="s">
        <v>0</v>
      </c>
      <c r="E2593" s="1" t="str">
        <f>"04054323"</f>
        <v>04054323</v>
      </c>
      <c r="F2593" s="1" t="str">
        <f>"Рогатинська міська рада"</f>
        <v>Рогатинська міська рада</v>
      </c>
      <c r="G2593" s="1" t="str">
        <f t="shared" si="372"/>
        <v>Фізична особа</v>
      </c>
      <c r="H2593" s="1" t="s">
        <v>20</v>
      </c>
      <c r="I2593" s="1" t="s">
        <v>20</v>
      </c>
      <c r="J2593" s="1" t="str">
        <f>"На обробці в СНАП"</f>
        <v>На обробці в СНАП</v>
      </c>
      <c r="K2593" s="1" t="s">
        <v>20</v>
      </c>
      <c r="L2593" s="1" t="s">
        <v>20</v>
      </c>
      <c r="M2593" s="1" t="s">
        <v>22</v>
      </c>
      <c r="N2593" s="1" t="s">
        <v>20</v>
      </c>
    </row>
    <row r="2594" spans="1:14" x14ac:dyDescent="0.3">
      <c r="A2594" s="1" t="str">
        <f>"3_1426/4-11/2024/Я"</f>
        <v>3_1426/4-11/2024/Я</v>
      </c>
      <c r="B2594" s="6">
        <v>45621</v>
      </c>
      <c r="C2594" s="1" t="str">
        <f>"00060"</f>
        <v>00060</v>
      </c>
      <c r="D2594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594" s="1" t="s">
        <v>20</v>
      </c>
      <c r="F2594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594" s="1" t="str">
        <f t="shared" si="372"/>
        <v>Фізична особа</v>
      </c>
      <c r="H2594" s="1" t="s">
        <v>20</v>
      </c>
      <c r="I2594" s="1" t="s">
        <v>20</v>
      </c>
      <c r="J2594" s="1" t="str">
        <f>"Результат підготовлено СНАП"</f>
        <v>Результат підготовлено СНАП</v>
      </c>
      <c r="K2594" s="5">
        <v>45623</v>
      </c>
      <c r="L2594" s="1" t="str">
        <f>"151.4"</f>
        <v>151.4</v>
      </c>
      <c r="M2594" s="1" t="s">
        <v>22</v>
      </c>
      <c r="N2594" s="1" t="s">
        <v>20</v>
      </c>
    </row>
    <row r="2595" spans="1:14" x14ac:dyDescent="0.3">
      <c r="A2595" s="1" t="str">
        <f>"1_6010/2129-11/2024/П"</f>
        <v>1_6010/2129-11/2024/П</v>
      </c>
      <c r="B2595" s="6">
        <v>45621</v>
      </c>
      <c r="C2595" s="1" t="str">
        <f>"00038"</f>
        <v>00038</v>
      </c>
      <c r="D259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595" s="1" t="s">
        <v>20</v>
      </c>
      <c r="F259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95" s="1" t="str">
        <f t="shared" si="372"/>
        <v>Фізична особа</v>
      </c>
      <c r="H2595" s="1" t="s">
        <v>20</v>
      </c>
      <c r="I2595" s="1" t="s">
        <v>20</v>
      </c>
      <c r="J2595" s="1" t="str">
        <f>"Закрито"</f>
        <v>Закрито</v>
      </c>
      <c r="K2595" s="5">
        <v>45621</v>
      </c>
      <c r="L2595" s="1" t="s">
        <v>20</v>
      </c>
      <c r="M2595" s="1" t="s">
        <v>22</v>
      </c>
      <c r="N2595" s="5">
        <v>45625</v>
      </c>
    </row>
    <row r="2596" spans="1:14" x14ac:dyDescent="0.3">
      <c r="A2596" s="1" t="str">
        <f>"9_1708/04054323-11/2024/Ш"</f>
        <v>9_1708/04054323-11/2024/Ш</v>
      </c>
      <c r="B2596" s="6">
        <v>45621</v>
      </c>
      <c r="C2596" s="1" t="str">
        <f>"01"</f>
        <v>01</v>
      </c>
      <c r="D2596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2596" s="1" t="str">
        <f>"04054323"</f>
        <v>04054323</v>
      </c>
      <c r="F2596" s="1" t="str">
        <f>"Рогатинська міська рада"</f>
        <v>Рогатинська міська рада</v>
      </c>
      <c r="G2596" s="1" t="str">
        <f t="shared" si="372"/>
        <v>Фізична особа</v>
      </c>
      <c r="H2596" s="1" t="s">
        <v>20</v>
      </c>
      <c r="I2596" s="1" t="s">
        <v>20</v>
      </c>
      <c r="J2596" s="1" t="str">
        <f>"На обробці в СНАП"</f>
        <v>На обробці в СНАП</v>
      </c>
      <c r="K2596" s="1" t="s">
        <v>20</v>
      </c>
      <c r="L2596" s="1" t="s">
        <v>20</v>
      </c>
      <c r="M2596" s="1" t="s">
        <v>22</v>
      </c>
      <c r="N2596" s="1" t="s">
        <v>20</v>
      </c>
    </row>
    <row r="2597" spans="1:14" x14ac:dyDescent="0.3">
      <c r="A2597" s="1" t="str">
        <f>"3_1427/4-11/2024/Я"</f>
        <v>3_1427/4-11/2024/Я</v>
      </c>
      <c r="B2597" s="6">
        <v>45621</v>
      </c>
      <c r="C2597" s="1" t="str">
        <f>"00060"</f>
        <v>00060</v>
      </c>
      <c r="D2597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597" s="1" t="s">
        <v>20</v>
      </c>
      <c r="F2597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597" s="1" t="str">
        <f t="shared" si="372"/>
        <v>Фізична особа</v>
      </c>
      <c r="H2597" s="1" t="s">
        <v>20</v>
      </c>
      <c r="I2597" s="1" t="s">
        <v>20</v>
      </c>
      <c r="J2597" s="1" t="str">
        <f>"Результат підготовлено СНАП"</f>
        <v>Результат підготовлено СНАП</v>
      </c>
      <c r="K2597" s="5">
        <v>45623</v>
      </c>
      <c r="L2597" s="1" t="str">
        <f>"151.4"</f>
        <v>151.4</v>
      </c>
      <c r="M2597" s="1" t="s">
        <v>22</v>
      </c>
      <c r="N2597" s="1" t="s">
        <v>20</v>
      </c>
    </row>
    <row r="2598" spans="1:14" x14ac:dyDescent="0.3">
      <c r="A2598" s="1" t="str">
        <f>"8_85/2129-11/2024/А"</f>
        <v>8_85/2129-11/2024/А</v>
      </c>
      <c r="B2598" s="6">
        <v>45621</v>
      </c>
      <c r="C2598" s="1" t="str">
        <f>"00033"</f>
        <v>00033</v>
      </c>
      <c r="D2598" s="2" t="str">
        <f>"Державна реєстрація смерті"</f>
        <v>Державна реєстрація смерті</v>
      </c>
      <c r="E2598" s="1" t="s">
        <v>20</v>
      </c>
      <c r="F259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98" s="1" t="str">
        <f t="shared" si="372"/>
        <v>Фізична особа</v>
      </c>
      <c r="H2598" s="1" t="s">
        <v>20</v>
      </c>
      <c r="I2598" s="1" t="s">
        <v>20</v>
      </c>
      <c r="J2598" s="1" t="str">
        <f>"Закрито"</f>
        <v>Закрито</v>
      </c>
      <c r="K2598" s="5">
        <v>45621</v>
      </c>
      <c r="L2598" s="1" t="s">
        <v>20</v>
      </c>
      <c r="M2598" s="1" t="s">
        <v>22</v>
      </c>
      <c r="N2598" s="5">
        <v>45621</v>
      </c>
    </row>
    <row r="2599" spans="1:14" x14ac:dyDescent="0.3">
      <c r="A2599" s="1" t="str">
        <f>"1_6011/2129-11/2024/А"</f>
        <v>1_6011/2129-11/2024/А</v>
      </c>
      <c r="B2599" s="6">
        <v>45621</v>
      </c>
      <c r="C2599" s="1" t="str">
        <f>"00037"</f>
        <v>00037</v>
      </c>
      <c r="D2599" s="2" t="str">
        <f>"Зняття з реєстрації місця проживання"</f>
        <v>Зняття з реєстрації місця проживання</v>
      </c>
      <c r="E2599" s="1" t="s">
        <v>20</v>
      </c>
      <c r="F259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599" s="1" t="str">
        <f t="shared" si="372"/>
        <v>Фізична особа</v>
      </c>
      <c r="H2599" s="1" t="s">
        <v>20</v>
      </c>
      <c r="I2599" s="1" t="s">
        <v>20</v>
      </c>
      <c r="J2599" s="1" t="str">
        <f>"Закрито"</f>
        <v>Закрито</v>
      </c>
      <c r="K2599" s="5">
        <v>45621</v>
      </c>
      <c r="L2599" s="1" t="s">
        <v>20</v>
      </c>
      <c r="M2599" s="1" t="s">
        <v>22</v>
      </c>
      <c r="N2599" s="5">
        <v>45621</v>
      </c>
    </row>
    <row r="2600" spans="1:14" x14ac:dyDescent="0.3">
      <c r="A2600" s="1" t="str">
        <f>"12_910-11/2024/С"</f>
        <v>12_910-11/2024/С</v>
      </c>
      <c r="B2600" s="6">
        <v>45621</v>
      </c>
      <c r="C2600" s="1" t="str">
        <f>"33"</f>
        <v>33</v>
      </c>
      <c r="D2600" s="2" t="str">
        <f>"33 Довідки різного характеру"</f>
        <v>33 Довідки різного характеру</v>
      </c>
      <c r="E2600" s="1" t="s">
        <v>20</v>
      </c>
      <c r="F260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00" s="1" t="str">
        <f t="shared" si="372"/>
        <v>Фізична особа</v>
      </c>
      <c r="H2600" s="1" t="s">
        <v>20</v>
      </c>
      <c r="I2600" s="1" t="s">
        <v>20</v>
      </c>
      <c r="J2600" s="1" t="str">
        <f>"Закрито"</f>
        <v>Закрито</v>
      </c>
      <c r="K2600" s="5">
        <v>45621</v>
      </c>
      <c r="L2600" s="1" t="s">
        <v>20</v>
      </c>
      <c r="M2600" s="1" t="s">
        <v>22</v>
      </c>
      <c r="N2600" s="5">
        <v>45621</v>
      </c>
    </row>
    <row r="2601" spans="1:14" x14ac:dyDescent="0.3">
      <c r="A2601" s="1" t="str">
        <f>"9_1709/04054323-11/2024/Р"</f>
        <v>9_1709/04054323-11/2024/Р</v>
      </c>
      <c r="B2601" s="6">
        <v>45621</v>
      </c>
      <c r="C2601" s="1" t="str">
        <f>"01"</f>
        <v>01</v>
      </c>
      <c r="D2601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2601" s="1" t="str">
        <f>"04054323"</f>
        <v>04054323</v>
      </c>
      <c r="F2601" s="1" t="str">
        <f>"Рогатинська міська рада"</f>
        <v>Рогатинська міська рада</v>
      </c>
      <c r="G2601" s="1" t="str">
        <f t="shared" si="372"/>
        <v>Фізична особа</v>
      </c>
      <c r="H2601" s="1" t="s">
        <v>20</v>
      </c>
      <c r="I2601" s="1" t="s">
        <v>20</v>
      </c>
      <c r="J2601" s="1" t="str">
        <f>"На обробці в СНАП"</f>
        <v>На обробці в СНАП</v>
      </c>
      <c r="K2601" s="1" t="s">
        <v>20</v>
      </c>
      <c r="L2601" s="1" t="s">
        <v>20</v>
      </c>
      <c r="M2601" s="1" t="s">
        <v>22</v>
      </c>
      <c r="N2601" s="1" t="s">
        <v>20</v>
      </c>
    </row>
    <row r="2602" spans="1:14" x14ac:dyDescent="0.3">
      <c r="A2602" s="1" t="str">
        <f>"12_911-11/2024/С"</f>
        <v>12_911-11/2024/С</v>
      </c>
      <c r="B2602" s="6">
        <v>45621</v>
      </c>
      <c r="C2602" s="1" t="str">
        <f>"00038"</f>
        <v>00038</v>
      </c>
      <c r="D260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602" s="1" t="s">
        <v>20</v>
      </c>
      <c r="F260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02" s="1" t="str">
        <f t="shared" si="372"/>
        <v>Фізична особа</v>
      </c>
      <c r="H2602" s="1" t="s">
        <v>20</v>
      </c>
      <c r="I2602" s="1" t="s">
        <v>20</v>
      </c>
      <c r="J2602" s="1" t="str">
        <f>"Закрито"</f>
        <v>Закрито</v>
      </c>
      <c r="K2602" s="5">
        <v>45621</v>
      </c>
      <c r="L2602" s="1" t="s">
        <v>20</v>
      </c>
      <c r="M2602" s="1" t="s">
        <v>22</v>
      </c>
      <c r="N2602" s="5">
        <v>45621</v>
      </c>
    </row>
    <row r="2603" spans="1:14" x14ac:dyDescent="0.3">
      <c r="A2603" s="1" t="str">
        <f>"14_1026-11/2024/Ш"</f>
        <v>14_1026-11/2024/Ш</v>
      </c>
      <c r="B2603" s="6">
        <v>45621</v>
      </c>
      <c r="C2603" s="1" t="str">
        <f>"00038"</f>
        <v>00038</v>
      </c>
      <c r="D260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603" s="1" t="s">
        <v>20</v>
      </c>
      <c r="F260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03" s="1" t="str">
        <f t="shared" si="372"/>
        <v>Фізична особа</v>
      </c>
      <c r="H2603" s="1" t="s">
        <v>20</v>
      </c>
      <c r="I2603" s="1" t="s">
        <v>20</v>
      </c>
      <c r="J2603" s="1" t="str">
        <f>"Закрито"</f>
        <v>Закрито</v>
      </c>
      <c r="K2603" s="5">
        <v>45621</v>
      </c>
      <c r="L2603" s="1" t="s">
        <v>20</v>
      </c>
      <c r="M2603" s="1" t="s">
        <v>22</v>
      </c>
      <c r="N2603" s="5">
        <v>45621</v>
      </c>
    </row>
    <row r="2604" spans="1:14" x14ac:dyDescent="0.3">
      <c r="A2604" s="1" t="str">
        <f>"12_912-11/2024/К"</f>
        <v>12_912-11/2024/К</v>
      </c>
      <c r="B2604" s="6">
        <v>45621</v>
      </c>
      <c r="C2604" s="1" t="str">
        <f>"00038"</f>
        <v>00038</v>
      </c>
      <c r="D260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604" s="1" t="s">
        <v>20</v>
      </c>
      <c r="F260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04" s="1" t="str">
        <f t="shared" si="372"/>
        <v>Фізична особа</v>
      </c>
      <c r="H2604" s="1" t="s">
        <v>20</v>
      </c>
      <c r="I2604" s="1" t="s">
        <v>20</v>
      </c>
      <c r="J2604" s="1" t="str">
        <f>"Закрито"</f>
        <v>Закрито</v>
      </c>
      <c r="K2604" s="5">
        <v>45621</v>
      </c>
      <c r="L2604" s="1" t="s">
        <v>20</v>
      </c>
      <c r="M2604" s="1" t="s">
        <v>22</v>
      </c>
      <c r="N2604" s="5">
        <v>45621</v>
      </c>
    </row>
    <row r="2605" spans="1:14" x14ac:dyDescent="0.3">
      <c r="A2605" s="1" t="str">
        <f>"14_1027-11/2024/Ш"</f>
        <v>14_1027-11/2024/Ш</v>
      </c>
      <c r="B2605" s="6">
        <v>45621</v>
      </c>
      <c r="C2605" s="1" t="str">
        <f>"00038"</f>
        <v>00038</v>
      </c>
      <c r="D260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605" s="1" t="s">
        <v>20</v>
      </c>
      <c r="F260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05" s="1" t="str">
        <f t="shared" si="372"/>
        <v>Фізична особа</v>
      </c>
      <c r="H2605" s="1" t="s">
        <v>20</v>
      </c>
      <c r="I2605" s="1" t="s">
        <v>20</v>
      </c>
      <c r="J2605" s="1" t="str">
        <f>"Закрито"</f>
        <v>Закрито</v>
      </c>
      <c r="K2605" s="5">
        <v>45621</v>
      </c>
      <c r="L2605" s="1" t="s">
        <v>20</v>
      </c>
      <c r="M2605" s="1" t="s">
        <v>22</v>
      </c>
      <c r="N2605" s="5">
        <v>45621</v>
      </c>
    </row>
    <row r="2606" spans="1:14" x14ac:dyDescent="0.3">
      <c r="A2606" s="1" t="str">
        <f>"12_913-11/2024/К"</f>
        <v>12_913-11/2024/К</v>
      </c>
      <c r="B2606" s="6">
        <v>45621</v>
      </c>
      <c r="C2606" s="1" t="str">
        <f>"00038"</f>
        <v>00038</v>
      </c>
      <c r="D260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606" s="1" t="s">
        <v>20</v>
      </c>
      <c r="F260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06" s="1" t="str">
        <f t="shared" si="372"/>
        <v>Фізична особа</v>
      </c>
      <c r="H2606" s="1" t="s">
        <v>20</v>
      </c>
      <c r="I2606" s="1" t="s">
        <v>20</v>
      </c>
      <c r="J2606" s="1" t="str">
        <f>"Закрито"</f>
        <v>Закрито</v>
      </c>
      <c r="K2606" s="5">
        <v>45621</v>
      </c>
      <c r="L2606" s="1" t="s">
        <v>20</v>
      </c>
      <c r="M2606" s="1" t="s">
        <v>22</v>
      </c>
      <c r="N2606" s="5">
        <v>45621</v>
      </c>
    </row>
    <row r="2607" spans="1:14" x14ac:dyDescent="0.3">
      <c r="A2607" s="1" t="str">
        <f>"14_1028-11/2024/Ш"</f>
        <v>14_1028-11/2024/Ш</v>
      </c>
      <c r="B2607" s="6">
        <v>45621</v>
      </c>
      <c r="C2607" s="1" t="str">
        <f>"00155"</f>
        <v>00155</v>
      </c>
      <c r="D2607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07" s="1" t="str">
        <f>"03193413"</f>
        <v>03193413</v>
      </c>
      <c r="F260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07" s="1" t="str">
        <f t="shared" si="372"/>
        <v>Фізична особа</v>
      </c>
      <c r="H2607" s="1" t="s">
        <v>20</v>
      </c>
      <c r="I2607" s="1" t="s">
        <v>20</v>
      </c>
      <c r="J2607" s="1" t="str">
        <f>"На обробці в СНАП"</f>
        <v>На обробці в СНАП</v>
      </c>
      <c r="K2607" s="1" t="s">
        <v>20</v>
      </c>
      <c r="L2607" s="1" t="s">
        <v>20</v>
      </c>
      <c r="M2607" s="1" t="s">
        <v>22</v>
      </c>
      <c r="N2607" s="1" t="s">
        <v>20</v>
      </c>
    </row>
    <row r="2608" spans="1:14" x14ac:dyDescent="0.3">
      <c r="A2608" s="1" t="str">
        <f>"12_914-11/2024/К"</f>
        <v>12_914-11/2024/К</v>
      </c>
      <c r="B2608" s="6">
        <v>45621</v>
      </c>
      <c r="C2608" s="1" t="str">
        <f>"00155"</f>
        <v>00155</v>
      </c>
      <c r="D2608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08" s="1" t="str">
        <f>"03193413"</f>
        <v>03193413</v>
      </c>
      <c r="F260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08" s="1" t="str">
        <f t="shared" si="372"/>
        <v>Фізична особа</v>
      </c>
      <c r="H2608" s="1" t="s">
        <v>20</v>
      </c>
      <c r="I2608" s="1" t="s">
        <v>20</v>
      </c>
      <c r="J2608" s="1" t="str">
        <f t="shared" ref="J2608:J2621" si="373">"Закрито"</f>
        <v>Закрито</v>
      </c>
      <c r="K2608" s="5">
        <v>45653</v>
      </c>
      <c r="L2608" s="1" t="s">
        <v>20</v>
      </c>
      <c r="M2608" s="1" t="s">
        <v>22</v>
      </c>
      <c r="N2608" s="5">
        <v>45653</v>
      </c>
    </row>
    <row r="2609" spans="1:14" x14ac:dyDescent="0.3">
      <c r="A2609" s="1" t="str">
        <f>"1_6012/2129-11/2024/П"</f>
        <v>1_6012/2129-11/2024/П</v>
      </c>
      <c r="B2609" s="6">
        <v>45621</v>
      </c>
      <c r="C2609" s="1" t="str">
        <f>"00038"</f>
        <v>00038</v>
      </c>
      <c r="D260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609" s="1" t="s">
        <v>20</v>
      </c>
      <c r="F260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09" s="1" t="str">
        <f t="shared" si="372"/>
        <v>Фізична особа</v>
      </c>
      <c r="H2609" s="1" t="s">
        <v>20</v>
      </c>
      <c r="I2609" s="1" t="s">
        <v>20</v>
      </c>
      <c r="J2609" s="1" t="str">
        <f t="shared" si="373"/>
        <v>Закрито</v>
      </c>
      <c r="K2609" s="5">
        <v>45621</v>
      </c>
      <c r="L2609" s="1" t="s">
        <v>20</v>
      </c>
      <c r="M2609" s="1" t="s">
        <v>22</v>
      </c>
      <c r="N2609" s="5">
        <v>45621</v>
      </c>
    </row>
    <row r="2610" spans="1:14" x14ac:dyDescent="0.3">
      <c r="A2610" s="1" t="str">
        <f>"31_507-11/2024/В"</f>
        <v>31_507-11/2024/В</v>
      </c>
      <c r="B2610" s="6">
        <v>45621</v>
      </c>
      <c r="C2610" s="1" t="str">
        <f>"00037"</f>
        <v>00037</v>
      </c>
      <c r="D2610" s="2" t="str">
        <f>"Зняття з реєстрації місця проживання"</f>
        <v>Зняття з реєстрації місця проживання</v>
      </c>
      <c r="E2610" s="1" t="s">
        <v>20</v>
      </c>
      <c r="F261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10" s="1" t="str">
        <f t="shared" si="372"/>
        <v>Фізична особа</v>
      </c>
      <c r="H2610" s="1" t="s">
        <v>20</v>
      </c>
      <c r="I2610" s="1" t="s">
        <v>20</v>
      </c>
      <c r="J2610" s="1" t="str">
        <f t="shared" si="373"/>
        <v>Закрито</v>
      </c>
      <c r="K2610" s="5">
        <v>45621</v>
      </c>
      <c r="L2610" s="1" t="s">
        <v>20</v>
      </c>
      <c r="M2610" s="1" t="s">
        <v>22</v>
      </c>
      <c r="N2610" s="5">
        <v>45621</v>
      </c>
    </row>
    <row r="2611" spans="1:14" x14ac:dyDescent="0.3">
      <c r="A2611" s="1" t="str">
        <f>"1_6013/2129-11/2024/Б"</f>
        <v>1_6013/2129-11/2024/Б</v>
      </c>
      <c r="B2611" s="6">
        <v>45621</v>
      </c>
      <c r="C2611" s="1" t="str">
        <f>"00038"</f>
        <v>00038</v>
      </c>
      <c r="D261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611" s="1" t="s">
        <v>20</v>
      </c>
      <c r="F261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11" s="1" t="str">
        <f t="shared" si="372"/>
        <v>Фізична особа</v>
      </c>
      <c r="H2611" s="1" t="s">
        <v>20</v>
      </c>
      <c r="I2611" s="1" t="s">
        <v>20</v>
      </c>
      <c r="J2611" s="1" t="str">
        <f t="shared" si="373"/>
        <v>Закрито</v>
      </c>
      <c r="K2611" s="5">
        <v>45621</v>
      </c>
      <c r="L2611" s="1" t="s">
        <v>20</v>
      </c>
      <c r="M2611" s="1" t="s">
        <v>22</v>
      </c>
      <c r="N2611" s="5">
        <v>45621</v>
      </c>
    </row>
    <row r="2612" spans="1:14" x14ac:dyDescent="0.3">
      <c r="A2612" s="1" t="str">
        <f>"2_2134/04054323-11/2024/М"</f>
        <v>2_2134/04054323-11/2024/М</v>
      </c>
      <c r="B2612" s="6">
        <v>45621</v>
      </c>
      <c r="C2612" s="1" t="str">
        <f>"00153"</f>
        <v>00153</v>
      </c>
      <c r="D2612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2612" s="1" t="str">
        <f>"04054323"</f>
        <v>04054323</v>
      </c>
      <c r="F2612" s="1" t="str">
        <f>"Рогатинська міська рада"</f>
        <v>Рогатинська міська рада</v>
      </c>
      <c r="G2612" s="1" t="str">
        <f t="shared" si="372"/>
        <v>Фізична особа</v>
      </c>
      <c r="H2612" s="1" t="s">
        <v>20</v>
      </c>
      <c r="I2612" s="1" t="s">
        <v>20</v>
      </c>
      <c r="J2612" s="1" t="str">
        <f t="shared" si="373"/>
        <v>Закрито</v>
      </c>
      <c r="K2612" s="5">
        <v>45642</v>
      </c>
      <c r="L2612" s="1" t="s">
        <v>20</v>
      </c>
      <c r="M2612" s="1" t="s">
        <v>22</v>
      </c>
      <c r="N2612" s="5">
        <v>45642</v>
      </c>
    </row>
    <row r="2613" spans="1:14" x14ac:dyDescent="0.3">
      <c r="A2613" s="1" t="str">
        <f>"31_508-11/2024/В"</f>
        <v>31_508-11/2024/В</v>
      </c>
      <c r="B2613" s="6">
        <v>45621</v>
      </c>
      <c r="C2613" s="1" t="str">
        <f>"00037"</f>
        <v>00037</v>
      </c>
      <c r="D2613" s="2" t="str">
        <f>"Зняття з реєстрації місця проживання"</f>
        <v>Зняття з реєстрації місця проживання</v>
      </c>
      <c r="E2613" s="1" t="s">
        <v>20</v>
      </c>
      <c r="F26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13" s="1" t="str">
        <f t="shared" si="372"/>
        <v>Фізична особа</v>
      </c>
      <c r="H2613" s="1" t="s">
        <v>20</v>
      </c>
      <c r="I2613" s="1" t="s">
        <v>20</v>
      </c>
      <c r="J2613" s="1" t="str">
        <f t="shared" si="373"/>
        <v>Закрито</v>
      </c>
      <c r="K2613" s="5">
        <v>45621</v>
      </c>
      <c r="L2613" s="1" t="s">
        <v>20</v>
      </c>
      <c r="M2613" s="1" t="s">
        <v>22</v>
      </c>
      <c r="N2613" s="5">
        <v>45621</v>
      </c>
    </row>
    <row r="2614" spans="1:14" x14ac:dyDescent="0.3">
      <c r="A2614" s="1" t="str">
        <f>"28_660-11/2024/К"</f>
        <v>28_660-11/2024/К</v>
      </c>
      <c r="B2614" s="6">
        <v>45621</v>
      </c>
      <c r="C2614" s="1" t="str">
        <f>"00155"</f>
        <v>00155</v>
      </c>
      <c r="D2614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14" s="1" t="str">
        <f>"03193413"</f>
        <v>03193413</v>
      </c>
      <c r="F261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14" s="1" t="str">
        <f t="shared" si="372"/>
        <v>Фізична особа</v>
      </c>
      <c r="H2614" s="1" t="s">
        <v>20</v>
      </c>
      <c r="I2614" s="1" t="s">
        <v>20</v>
      </c>
      <c r="J2614" s="1" t="str">
        <f t="shared" si="373"/>
        <v>Закрито</v>
      </c>
      <c r="K2614" s="5">
        <v>45635</v>
      </c>
      <c r="L2614" s="1" t="s">
        <v>20</v>
      </c>
      <c r="M2614" s="1" t="s">
        <v>22</v>
      </c>
      <c r="N2614" s="5">
        <v>45637</v>
      </c>
    </row>
    <row r="2615" spans="1:14" x14ac:dyDescent="0.3">
      <c r="A2615" s="1" t="str">
        <f>"1_6014/2129-11/2024/Л"</f>
        <v>1_6014/2129-11/2024/Л</v>
      </c>
      <c r="B2615" s="6">
        <v>45621</v>
      </c>
      <c r="C2615" s="1" t="str">
        <f>"33"</f>
        <v>33</v>
      </c>
      <c r="D2615" s="2" t="str">
        <f>"33 Довідки різного характеру"</f>
        <v>33 Довідки різного характеру</v>
      </c>
      <c r="E2615" s="1" t="s">
        <v>20</v>
      </c>
      <c r="F2615" s="1" t="str">
        <f t="shared" ref="F2615:F2621" si="374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15" s="1" t="str">
        <f t="shared" si="372"/>
        <v>Фізична особа</v>
      </c>
      <c r="H2615" s="1" t="s">
        <v>20</v>
      </c>
      <c r="I2615" s="1" t="s">
        <v>20</v>
      </c>
      <c r="J2615" s="1" t="str">
        <f t="shared" si="373"/>
        <v>Закрито</v>
      </c>
      <c r="K2615" s="5">
        <v>45621</v>
      </c>
      <c r="L2615" s="1" t="s">
        <v>20</v>
      </c>
      <c r="M2615" s="1" t="s">
        <v>22</v>
      </c>
      <c r="N2615" s="5">
        <v>45621</v>
      </c>
    </row>
    <row r="2616" spans="1:14" x14ac:dyDescent="0.3">
      <c r="A2616" s="1" t="str">
        <f>"1_6015/2129-11/2024/А"</f>
        <v>1_6015/2129-11/2024/А</v>
      </c>
      <c r="B2616" s="6">
        <v>45621</v>
      </c>
      <c r="C2616" s="1" t="str">
        <f t="shared" ref="C2616:C2621" si="375">"00038"</f>
        <v>00038</v>
      </c>
      <c r="D2616" s="2" t="str">
        <f t="shared" ref="D2616:D2621" si="376"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616" s="1" t="s">
        <v>20</v>
      </c>
      <c r="F2616" s="1" t="str">
        <f t="shared" si="374"/>
        <v>Центр надання адміністративних послуг Рогатинської міської ради</v>
      </c>
      <c r="G2616" s="1" t="str">
        <f t="shared" si="372"/>
        <v>Фізична особа</v>
      </c>
      <c r="H2616" s="1" t="s">
        <v>20</v>
      </c>
      <c r="I2616" s="1" t="s">
        <v>20</v>
      </c>
      <c r="J2616" s="1" t="str">
        <f t="shared" si="373"/>
        <v>Закрито</v>
      </c>
      <c r="K2616" s="5">
        <v>45621</v>
      </c>
      <c r="L2616" s="1" t="s">
        <v>20</v>
      </c>
      <c r="M2616" s="1" t="s">
        <v>22</v>
      </c>
      <c r="N2616" s="5">
        <v>45621</v>
      </c>
    </row>
    <row r="2617" spans="1:14" x14ac:dyDescent="0.3">
      <c r="A2617" s="1" t="str">
        <f>"1_6016/2129-11/2024/Г"</f>
        <v>1_6016/2129-11/2024/Г</v>
      </c>
      <c r="B2617" s="6">
        <v>45621</v>
      </c>
      <c r="C2617" s="1" t="str">
        <f t="shared" si="375"/>
        <v>00038</v>
      </c>
      <c r="D2617" s="2" t="str">
        <f t="shared" si="376"/>
        <v>Видача довідки про реєстрацію місця проживання або місця перебування особи</v>
      </c>
      <c r="E2617" s="1" t="s">
        <v>20</v>
      </c>
      <c r="F2617" s="1" t="str">
        <f t="shared" si="374"/>
        <v>Центр надання адміністративних послуг Рогатинської міської ради</v>
      </c>
      <c r="G2617" s="1" t="str">
        <f t="shared" si="372"/>
        <v>Фізична особа</v>
      </c>
      <c r="H2617" s="1" t="s">
        <v>20</v>
      </c>
      <c r="I2617" s="1" t="s">
        <v>20</v>
      </c>
      <c r="J2617" s="1" t="str">
        <f t="shared" si="373"/>
        <v>Закрито</v>
      </c>
      <c r="K2617" s="5">
        <v>45621</v>
      </c>
      <c r="L2617" s="1" t="s">
        <v>20</v>
      </c>
      <c r="M2617" s="1" t="s">
        <v>22</v>
      </c>
      <c r="N2617" s="5">
        <v>45621</v>
      </c>
    </row>
    <row r="2618" spans="1:14" x14ac:dyDescent="0.3">
      <c r="A2618" s="1" t="str">
        <f>"1_6017/2129-11/2024/Г"</f>
        <v>1_6017/2129-11/2024/Г</v>
      </c>
      <c r="B2618" s="6">
        <v>45621</v>
      </c>
      <c r="C2618" s="1" t="str">
        <f t="shared" si="375"/>
        <v>00038</v>
      </c>
      <c r="D2618" s="2" t="str">
        <f t="shared" si="376"/>
        <v>Видача довідки про реєстрацію місця проживання або місця перебування особи</v>
      </c>
      <c r="E2618" s="1" t="s">
        <v>20</v>
      </c>
      <c r="F2618" s="1" t="str">
        <f t="shared" si="374"/>
        <v>Центр надання адміністративних послуг Рогатинської міської ради</v>
      </c>
      <c r="G2618" s="1" t="str">
        <f t="shared" si="372"/>
        <v>Фізична особа</v>
      </c>
      <c r="H2618" s="1" t="s">
        <v>20</v>
      </c>
      <c r="I2618" s="1" t="s">
        <v>20</v>
      </c>
      <c r="J2618" s="1" t="str">
        <f t="shared" si="373"/>
        <v>Закрито</v>
      </c>
      <c r="K2618" s="5">
        <v>45621</v>
      </c>
      <c r="L2618" s="1" t="s">
        <v>20</v>
      </c>
      <c r="M2618" s="1" t="s">
        <v>22</v>
      </c>
      <c r="N2618" s="5">
        <v>45621</v>
      </c>
    </row>
    <row r="2619" spans="1:14" x14ac:dyDescent="0.3">
      <c r="A2619" s="1" t="str">
        <f>"1_6018/2129-11/2024/Г"</f>
        <v>1_6018/2129-11/2024/Г</v>
      </c>
      <c r="B2619" s="6">
        <v>45621</v>
      </c>
      <c r="C2619" s="1" t="str">
        <f t="shared" si="375"/>
        <v>00038</v>
      </c>
      <c r="D2619" s="2" t="str">
        <f t="shared" si="376"/>
        <v>Видача довідки про реєстрацію місця проживання або місця перебування особи</v>
      </c>
      <c r="E2619" s="1" t="s">
        <v>20</v>
      </c>
      <c r="F2619" s="1" t="str">
        <f t="shared" si="374"/>
        <v>Центр надання адміністративних послуг Рогатинської міської ради</v>
      </c>
      <c r="G2619" s="1" t="str">
        <f t="shared" si="372"/>
        <v>Фізична особа</v>
      </c>
      <c r="H2619" s="1" t="s">
        <v>20</v>
      </c>
      <c r="I2619" s="1" t="s">
        <v>20</v>
      </c>
      <c r="J2619" s="1" t="str">
        <f t="shared" si="373"/>
        <v>Закрито</v>
      </c>
      <c r="K2619" s="5">
        <v>45621</v>
      </c>
      <c r="L2619" s="1" t="s">
        <v>20</v>
      </c>
      <c r="M2619" s="1" t="s">
        <v>22</v>
      </c>
      <c r="N2619" s="5">
        <v>45621</v>
      </c>
    </row>
    <row r="2620" spans="1:14" x14ac:dyDescent="0.3">
      <c r="A2620" s="1" t="str">
        <f>"1_6019/2129-11/2024/Г"</f>
        <v>1_6019/2129-11/2024/Г</v>
      </c>
      <c r="B2620" s="6">
        <v>45621</v>
      </c>
      <c r="C2620" s="1" t="str">
        <f t="shared" si="375"/>
        <v>00038</v>
      </c>
      <c r="D2620" s="2" t="str">
        <f t="shared" si="376"/>
        <v>Видача довідки про реєстрацію місця проживання або місця перебування особи</v>
      </c>
      <c r="E2620" s="1" t="s">
        <v>20</v>
      </c>
      <c r="F2620" s="1" t="str">
        <f t="shared" si="374"/>
        <v>Центр надання адміністративних послуг Рогатинської міської ради</v>
      </c>
      <c r="G2620" s="1" t="str">
        <f t="shared" si="372"/>
        <v>Фізична особа</v>
      </c>
      <c r="H2620" s="1" t="s">
        <v>20</v>
      </c>
      <c r="I2620" s="1" t="s">
        <v>20</v>
      </c>
      <c r="J2620" s="1" t="str">
        <f t="shared" si="373"/>
        <v>Закрито</v>
      </c>
      <c r="K2620" s="5">
        <v>45621</v>
      </c>
      <c r="L2620" s="1" t="s">
        <v>20</v>
      </c>
      <c r="M2620" s="1" t="s">
        <v>22</v>
      </c>
      <c r="N2620" s="5">
        <v>45621</v>
      </c>
    </row>
    <row r="2621" spans="1:14" x14ac:dyDescent="0.3">
      <c r="A2621" s="1" t="str">
        <f>"1_6020/2129-11/2024/Г"</f>
        <v>1_6020/2129-11/2024/Г</v>
      </c>
      <c r="B2621" s="6">
        <v>45621</v>
      </c>
      <c r="C2621" s="1" t="str">
        <f t="shared" si="375"/>
        <v>00038</v>
      </c>
      <c r="D2621" s="2" t="str">
        <f t="shared" si="376"/>
        <v>Видача довідки про реєстрацію місця проживання або місця перебування особи</v>
      </c>
      <c r="E2621" s="1" t="s">
        <v>20</v>
      </c>
      <c r="F2621" s="1" t="str">
        <f t="shared" si="374"/>
        <v>Центр надання адміністративних послуг Рогатинської міської ради</v>
      </c>
      <c r="G2621" s="1" t="str">
        <f t="shared" si="372"/>
        <v>Фізична особа</v>
      </c>
      <c r="H2621" s="1" t="s">
        <v>20</v>
      </c>
      <c r="I2621" s="1" t="s">
        <v>20</v>
      </c>
      <c r="J2621" s="1" t="str">
        <f t="shared" si="373"/>
        <v>Закрито</v>
      </c>
      <c r="K2621" s="5">
        <v>45621</v>
      </c>
      <c r="L2621" s="1" t="s">
        <v>20</v>
      </c>
      <c r="M2621" s="1" t="s">
        <v>22</v>
      </c>
      <c r="N2621" s="5">
        <v>45621</v>
      </c>
    </row>
    <row r="2622" spans="1:14" x14ac:dyDescent="0.3">
      <c r="A2622" s="1" t="str">
        <f>"9_1710/04054323-11/2024/Ш"</f>
        <v>9_1710/04054323-11/2024/Ш</v>
      </c>
      <c r="B2622" s="6">
        <v>45621</v>
      </c>
      <c r="C2622" s="1" t="str">
        <f>"00179"</f>
        <v>00179</v>
      </c>
      <c r="D2622" s="2" t="str">
        <f>"Затвердження технічної документації з нормативної грошової оцінки земельної ділянки у межах населених пунктів"</f>
        <v>Затвердження технічної документації з нормативної грошової оцінки земельної ділянки у межах населених пунктів</v>
      </c>
      <c r="E2622" s="1" t="str">
        <f>"04054323"</f>
        <v>04054323</v>
      </c>
      <c r="F2622" s="1" t="str">
        <f>"Рогатинська міська рада"</f>
        <v>Рогатинська міська рада</v>
      </c>
      <c r="G2622" s="1" t="str">
        <f t="shared" si="372"/>
        <v>Фізична особа</v>
      </c>
      <c r="H2622" s="1" t="s">
        <v>20</v>
      </c>
      <c r="I2622" s="1" t="s">
        <v>20</v>
      </c>
      <c r="J2622" s="1" t="str">
        <f>"На обробці в СНАП"</f>
        <v>На обробці в СНАП</v>
      </c>
      <c r="K2622" s="1" t="s">
        <v>20</v>
      </c>
      <c r="L2622" s="1" t="s">
        <v>20</v>
      </c>
      <c r="M2622" s="1" t="s">
        <v>22</v>
      </c>
      <c r="N2622" s="1" t="s">
        <v>20</v>
      </c>
    </row>
    <row r="2623" spans="1:14" x14ac:dyDescent="0.3">
      <c r="A2623" s="1" t="str">
        <f>"30_633-11/2024/Б"</f>
        <v>30_633-11/2024/Б</v>
      </c>
      <c r="B2623" s="6">
        <v>45621</v>
      </c>
      <c r="C2623" s="1" t="str">
        <f>"00038"</f>
        <v>00038</v>
      </c>
      <c r="D262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623" s="1" t="s">
        <v>20</v>
      </c>
      <c r="F26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23" s="1" t="str">
        <f t="shared" si="372"/>
        <v>Фізична особа</v>
      </c>
      <c r="H2623" s="1" t="s">
        <v>20</v>
      </c>
      <c r="I2623" s="1" t="s">
        <v>20</v>
      </c>
      <c r="J2623" s="1" t="str">
        <f>"Закрито"</f>
        <v>Закрито</v>
      </c>
      <c r="K2623" s="5">
        <v>45621</v>
      </c>
      <c r="L2623" s="1" t="s">
        <v>20</v>
      </c>
      <c r="M2623" s="1" t="s">
        <v>22</v>
      </c>
      <c r="N2623" s="5">
        <v>45621</v>
      </c>
    </row>
    <row r="2624" spans="1:14" x14ac:dyDescent="0.3">
      <c r="A2624" s="1" t="str">
        <f>"1_6021/2129-11/2024/Л"</f>
        <v>1_6021/2129-11/2024/Л</v>
      </c>
      <c r="B2624" s="6">
        <v>45621</v>
      </c>
      <c r="C2624" s="1" t="str">
        <f>"00034"</f>
        <v>00034</v>
      </c>
      <c r="D2624" s="2" t="str">
        <f>"Реєстрація місця проживання"</f>
        <v>Реєстрація місця проживання</v>
      </c>
      <c r="E2624" s="1" t="s">
        <v>20</v>
      </c>
      <c r="F26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24" s="1" t="str">
        <f t="shared" si="372"/>
        <v>Фізична особа</v>
      </c>
      <c r="H2624" s="1" t="s">
        <v>20</v>
      </c>
      <c r="I2624" s="1" t="s">
        <v>20</v>
      </c>
      <c r="J2624" s="1" t="str">
        <f>"Закрито"</f>
        <v>Закрито</v>
      </c>
      <c r="K2624" s="5">
        <v>45621</v>
      </c>
      <c r="L2624" s="1" t="str">
        <f>"45.42"</f>
        <v>45.42</v>
      </c>
      <c r="M2624" s="1" t="s">
        <v>22</v>
      </c>
      <c r="N2624" s="5">
        <v>45621</v>
      </c>
    </row>
    <row r="2625" spans="1:14" x14ac:dyDescent="0.3">
      <c r="A2625" s="1" t="str">
        <f>"1_6022/2129-11/2024/Л"</f>
        <v>1_6022/2129-11/2024/Л</v>
      </c>
      <c r="B2625" s="6">
        <v>45621</v>
      </c>
      <c r="C2625" s="1" t="str">
        <f>"00038"</f>
        <v>00038</v>
      </c>
      <c r="D262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625" s="1" t="s">
        <v>20</v>
      </c>
      <c r="F262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25" s="1" t="str">
        <f t="shared" si="372"/>
        <v>Фізична особа</v>
      </c>
      <c r="H2625" s="1" t="s">
        <v>20</v>
      </c>
      <c r="I2625" s="1" t="s">
        <v>20</v>
      </c>
      <c r="J2625" s="1" t="str">
        <f>"Закрито"</f>
        <v>Закрито</v>
      </c>
      <c r="K2625" s="5">
        <v>45621</v>
      </c>
      <c r="L2625" s="1" t="s">
        <v>20</v>
      </c>
      <c r="M2625" s="1" t="s">
        <v>22</v>
      </c>
      <c r="N2625" s="5">
        <v>45621</v>
      </c>
    </row>
    <row r="2626" spans="1:14" x14ac:dyDescent="0.3">
      <c r="A2626" s="1" t="str">
        <f>"9_1711/04054323-11/2024/К"</f>
        <v>9_1711/04054323-11/2024/К</v>
      </c>
      <c r="B2626" s="6">
        <v>45621</v>
      </c>
      <c r="C2626" s="1" t="str">
        <f>"01"</f>
        <v>01</v>
      </c>
      <c r="D2626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2626" s="1" t="str">
        <f>"04054323"</f>
        <v>04054323</v>
      </c>
      <c r="F2626" s="1" t="str">
        <f>"Рогатинська міська рада"</f>
        <v>Рогатинська міська рада</v>
      </c>
      <c r="G2626" s="1" t="str">
        <f t="shared" si="372"/>
        <v>Фізична особа</v>
      </c>
      <c r="H2626" s="1" t="s">
        <v>20</v>
      </c>
      <c r="I2626" s="1" t="s">
        <v>20</v>
      </c>
      <c r="J2626" s="1" t="str">
        <f>"На обробці в СНАП"</f>
        <v>На обробці в СНАП</v>
      </c>
      <c r="K2626" s="1" t="s">
        <v>20</v>
      </c>
      <c r="L2626" s="1" t="s">
        <v>20</v>
      </c>
      <c r="M2626" s="1" t="s">
        <v>22</v>
      </c>
      <c r="N2626" s="1" t="s">
        <v>20</v>
      </c>
    </row>
    <row r="2627" spans="1:14" x14ac:dyDescent="0.3">
      <c r="A2627" s="1" t="str">
        <f>"1_6023/2129-11/2024/П"</f>
        <v>1_6023/2129-11/2024/П</v>
      </c>
      <c r="B2627" s="6">
        <v>45621</v>
      </c>
      <c r="C2627" s="1" t="str">
        <f>"00034"</f>
        <v>00034</v>
      </c>
      <c r="D2627" s="2" t="str">
        <f>"Реєстрація місця проживання"</f>
        <v>Реєстрація місця проживання</v>
      </c>
      <c r="E2627" s="1" t="s">
        <v>20</v>
      </c>
      <c r="F2627" s="1" t="str">
        <f t="shared" ref="F2627:F2640" si="377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27" s="1" t="str">
        <f t="shared" si="372"/>
        <v>Фізична особа</v>
      </c>
      <c r="H2627" s="1" t="s">
        <v>20</v>
      </c>
      <c r="I2627" s="1" t="s">
        <v>20</v>
      </c>
      <c r="J2627" s="1" t="str">
        <f t="shared" ref="J2627:J2640" si="378">"Закрито"</f>
        <v>Закрито</v>
      </c>
      <c r="K2627" s="5">
        <v>45621</v>
      </c>
      <c r="L2627" s="1" t="str">
        <f>"45.42"</f>
        <v>45.42</v>
      </c>
      <c r="M2627" s="1" t="s">
        <v>22</v>
      </c>
      <c r="N2627" s="5">
        <v>45621</v>
      </c>
    </row>
    <row r="2628" spans="1:14" x14ac:dyDescent="0.3">
      <c r="A2628" s="1" t="str">
        <f>"1_6024/2129-11/2024/П"</f>
        <v>1_6024/2129-11/2024/П</v>
      </c>
      <c r="B2628" s="6">
        <v>45621</v>
      </c>
      <c r="C2628" s="1" t="str">
        <f t="shared" ref="C2628:C2633" si="379">"00038"</f>
        <v>00038</v>
      </c>
      <c r="D2628" s="2" t="str">
        <f t="shared" ref="D2628:D2633" si="380"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628" s="1" t="s">
        <v>20</v>
      </c>
      <c r="F2628" s="1" t="str">
        <f t="shared" si="377"/>
        <v>Центр надання адміністративних послуг Рогатинської міської ради</v>
      </c>
      <c r="G2628" s="1" t="str">
        <f t="shared" si="372"/>
        <v>Фізична особа</v>
      </c>
      <c r="H2628" s="1" t="s">
        <v>20</v>
      </c>
      <c r="I2628" s="1" t="s">
        <v>20</v>
      </c>
      <c r="J2628" s="1" t="str">
        <f t="shared" si="378"/>
        <v>Закрито</v>
      </c>
      <c r="K2628" s="5">
        <v>45621</v>
      </c>
      <c r="L2628" s="1" t="s">
        <v>20</v>
      </c>
      <c r="M2628" s="1" t="s">
        <v>22</v>
      </c>
      <c r="N2628" s="5">
        <v>45621</v>
      </c>
    </row>
    <row r="2629" spans="1:14" x14ac:dyDescent="0.3">
      <c r="A2629" s="1" t="str">
        <f>"1_6025/2129-11/2024/П"</f>
        <v>1_6025/2129-11/2024/П</v>
      </c>
      <c r="B2629" s="6">
        <v>45621</v>
      </c>
      <c r="C2629" s="1" t="str">
        <f t="shared" si="379"/>
        <v>00038</v>
      </c>
      <c r="D2629" s="2" t="str">
        <f t="shared" si="380"/>
        <v>Видача довідки про реєстрацію місця проживання або місця перебування особи</v>
      </c>
      <c r="E2629" s="1" t="s">
        <v>20</v>
      </c>
      <c r="F2629" s="1" t="str">
        <f t="shared" si="377"/>
        <v>Центр надання адміністративних послуг Рогатинської міської ради</v>
      </c>
      <c r="G2629" s="1" t="str">
        <f t="shared" si="372"/>
        <v>Фізична особа</v>
      </c>
      <c r="H2629" s="1" t="s">
        <v>20</v>
      </c>
      <c r="I2629" s="1" t="s">
        <v>20</v>
      </c>
      <c r="J2629" s="1" t="str">
        <f t="shared" si="378"/>
        <v>Закрито</v>
      </c>
      <c r="K2629" s="5">
        <v>45621</v>
      </c>
      <c r="L2629" s="1" t="s">
        <v>20</v>
      </c>
      <c r="M2629" s="1" t="s">
        <v>22</v>
      </c>
      <c r="N2629" s="5">
        <v>45621</v>
      </c>
    </row>
    <row r="2630" spans="1:14" x14ac:dyDescent="0.3">
      <c r="A2630" s="1" t="str">
        <f>"1_6026/2129-11/2024/С"</f>
        <v>1_6026/2129-11/2024/С</v>
      </c>
      <c r="B2630" s="6">
        <v>45621</v>
      </c>
      <c r="C2630" s="1" t="str">
        <f t="shared" si="379"/>
        <v>00038</v>
      </c>
      <c r="D2630" s="2" t="str">
        <f t="shared" si="380"/>
        <v>Видача довідки про реєстрацію місця проживання або місця перебування особи</v>
      </c>
      <c r="E2630" s="1" t="s">
        <v>20</v>
      </c>
      <c r="F2630" s="1" t="str">
        <f t="shared" si="377"/>
        <v>Центр надання адміністративних послуг Рогатинської міської ради</v>
      </c>
      <c r="G2630" s="1" t="str">
        <f t="shared" si="372"/>
        <v>Фізична особа</v>
      </c>
      <c r="H2630" s="1" t="s">
        <v>20</v>
      </c>
      <c r="I2630" s="1" t="s">
        <v>20</v>
      </c>
      <c r="J2630" s="1" t="str">
        <f t="shared" si="378"/>
        <v>Закрито</v>
      </c>
      <c r="K2630" s="5">
        <v>45621</v>
      </c>
      <c r="L2630" s="1" t="s">
        <v>20</v>
      </c>
      <c r="M2630" s="1" t="s">
        <v>22</v>
      </c>
      <c r="N2630" s="5">
        <v>45621</v>
      </c>
    </row>
    <row r="2631" spans="1:14" x14ac:dyDescent="0.3">
      <c r="A2631" s="1" t="str">
        <f>"1_6027/2129-11/2024/К"</f>
        <v>1_6027/2129-11/2024/К</v>
      </c>
      <c r="B2631" s="6">
        <v>45621</v>
      </c>
      <c r="C2631" s="1" t="str">
        <f t="shared" si="379"/>
        <v>00038</v>
      </c>
      <c r="D2631" s="2" t="str">
        <f t="shared" si="380"/>
        <v>Видача довідки про реєстрацію місця проживання або місця перебування особи</v>
      </c>
      <c r="E2631" s="1" t="s">
        <v>20</v>
      </c>
      <c r="F2631" s="1" t="str">
        <f t="shared" si="377"/>
        <v>Центр надання адміністративних послуг Рогатинської міської ради</v>
      </c>
      <c r="G2631" s="1" t="str">
        <f t="shared" si="372"/>
        <v>Фізична особа</v>
      </c>
      <c r="H2631" s="1" t="s">
        <v>20</v>
      </c>
      <c r="I2631" s="1" t="s">
        <v>20</v>
      </c>
      <c r="J2631" s="1" t="str">
        <f t="shared" si="378"/>
        <v>Закрито</v>
      </c>
      <c r="K2631" s="5">
        <v>45621</v>
      </c>
      <c r="L2631" s="1" t="s">
        <v>20</v>
      </c>
      <c r="M2631" s="1" t="s">
        <v>22</v>
      </c>
      <c r="N2631" s="5">
        <v>45621</v>
      </c>
    </row>
    <row r="2632" spans="1:14" x14ac:dyDescent="0.3">
      <c r="A2632" s="1" t="str">
        <f>"1_6028/2129-11/2024/Р"</f>
        <v>1_6028/2129-11/2024/Р</v>
      </c>
      <c r="B2632" s="6">
        <v>45621</v>
      </c>
      <c r="C2632" s="1" t="str">
        <f t="shared" si="379"/>
        <v>00038</v>
      </c>
      <c r="D2632" s="2" t="str">
        <f t="shared" si="380"/>
        <v>Видача довідки про реєстрацію місця проживання або місця перебування особи</v>
      </c>
      <c r="E2632" s="1" t="s">
        <v>20</v>
      </c>
      <c r="F2632" s="1" t="str">
        <f t="shared" si="377"/>
        <v>Центр надання адміністративних послуг Рогатинської міської ради</v>
      </c>
      <c r="G2632" s="1" t="str">
        <f t="shared" si="372"/>
        <v>Фізична особа</v>
      </c>
      <c r="H2632" s="1" t="s">
        <v>20</v>
      </c>
      <c r="I2632" s="1" t="s">
        <v>20</v>
      </c>
      <c r="J2632" s="1" t="str">
        <f t="shared" si="378"/>
        <v>Закрито</v>
      </c>
      <c r="K2632" s="5">
        <v>45621</v>
      </c>
      <c r="L2632" s="1" t="s">
        <v>20</v>
      </c>
      <c r="M2632" s="1" t="s">
        <v>22</v>
      </c>
      <c r="N2632" s="5">
        <v>45621</v>
      </c>
    </row>
    <row r="2633" spans="1:14" x14ac:dyDescent="0.3">
      <c r="A2633" s="1" t="str">
        <f>"1_6029/2129-11/2024/Б"</f>
        <v>1_6029/2129-11/2024/Б</v>
      </c>
      <c r="B2633" s="6">
        <v>45621</v>
      </c>
      <c r="C2633" s="1" t="str">
        <f t="shared" si="379"/>
        <v>00038</v>
      </c>
      <c r="D2633" s="2" t="str">
        <f t="shared" si="380"/>
        <v>Видача довідки про реєстрацію місця проживання або місця перебування особи</v>
      </c>
      <c r="E2633" s="1" t="s">
        <v>20</v>
      </c>
      <c r="F2633" s="1" t="str">
        <f t="shared" si="377"/>
        <v>Центр надання адміністративних послуг Рогатинської міської ради</v>
      </c>
      <c r="G2633" s="1" t="str">
        <f t="shared" si="372"/>
        <v>Фізична особа</v>
      </c>
      <c r="H2633" s="1" t="s">
        <v>20</v>
      </c>
      <c r="I2633" s="1" t="s">
        <v>20</v>
      </c>
      <c r="J2633" s="1" t="str">
        <f t="shared" si="378"/>
        <v>Закрито</v>
      </c>
      <c r="K2633" s="5">
        <v>45621</v>
      </c>
      <c r="L2633" s="1" t="s">
        <v>20</v>
      </c>
      <c r="M2633" s="1" t="s">
        <v>22</v>
      </c>
      <c r="N2633" s="5">
        <v>45621</v>
      </c>
    </row>
    <row r="2634" spans="1:14" x14ac:dyDescent="0.3">
      <c r="A2634" s="1" t="str">
        <f>"1_6030/2129-11/2024/В"</f>
        <v>1_6030/2129-11/2024/В</v>
      </c>
      <c r="B2634" s="6">
        <v>45621</v>
      </c>
      <c r="C2634" s="1" t="str">
        <f>"01297"</f>
        <v>01297</v>
      </c>
      <c r="D2634" s="2" t="str">
        <f>"Видача довідок-характеристик на громадян"</f>
        <v>Видача довідок-характеристик на громадян</v>
      </c>
      <c r="E2634" s="1" t="s">
        <v>20</v>
      </c>
      <c r="F2634" s="1" t="str">
        <f t="shared" si="377"/>
        <v>Центр надання адміністративних послуг Рогатинської міської ради</v>
      </c>
      <c r="G2634" s="1" t="str">
        <f>"Юридична особа"</f>
        <v>Юридична особа</v>
      </c>
      <c r="H2634" s="1" t="str">
        <f>"Відділення поліції №4 (м.Рогатин) Івано-Франківського районного управління поліції Головного управління національної поліції в Івано-Франківській області"</f>
        <v>Відділення поліції №4 (м.Рогатин) Івано-Франківського районного управління поліції Головного управління національної поліції в Івано-Франківській області</v>
      </c>
      <c r="I2634" s="1" t="s">
        <v>20</v>
      </c>
      <c r="J2634" s="1" t="str">
        <f t="shared" si="378"/>
        <v>Закрито</v>
      </c>
      <c r="K2634" s="5">
        <v>45621</v>
      </c>
      <c r="L2634" s="1" t="s">
        <v>20</v>
      </c>
      <c r="M2634" s="1" t="s">
        <v>22</v>
      </c>
      <c r="N2634" s="5">
        <v>45621</v>
      </c>
    </row>
    <row r="2635" spans="1:14" x14ac:dyDescent="0.3">
      <c r="A2635" s="1" t="str">
        <f>"1_6031/2129-11/2024/Ш"</f>
        <v>1_6031/2129-11/2024/Ш</v>
      </c>
      <c r="B2635" s="6">
        <v>45621</v>
      </c>
      <c r="C2635" s="1" t="str">
        <f>"00037"</f>
        <v>00037</v>
      </c>
      <c r="D2635" s="2" t="str">
        <f>"Зняття з реєстрації місця проживання"</f>
        <v>Зняття з реєстрації місця проживання</v>
      </c>
      <c r="E2635" s="1" t="s">
        <v>20</v>
      </c>
      <c r="F2635" s="1" t="str">
        <f t="shared" si="377"/>
        <v>Центр надання адміністративних послуг Рогатинської міської ради</v>
      </c>
      <c r="G2635" s="1" t="str">
        <f>"Юридична особа"</f>
        <v>Юридична особа</v>
      </c>
      <c r="H2635" s="1" t="str">
        <f>"Шевченківська районна адміністрація"</f>
        <v>Шевченківська районна адміністрація</v>
      </c>
      <c r="I2635" s="1" t="s">
        <v>20</v>
      </c>
      <c r="J2635" s="1" t="str">
        <f t="shared" si="378"/>
        <v>Закрито</v>
      </c>
      <c r="K2635" s="5">
        <v>45621</v>
      </c>
      <c r="L2635" s="1" t="s">
        <v>20</v>
      </c>
      <c r="M2635" s="1" t="s">
        <v>22</v>
      </c>
      <c r="N2635" s="5">
        <v>45621</v>
      </c>
    </row>
    <row r="2636" spans="1:14" x14ac:dyDescent="0.3">
      <c r="A2636" s="1" t="str">
        <f>"1_6032/2129-11/2024/в"</f>
        <v>1_6032/2129-11/2024/в</v>
      </c>
      <c r="B2636" s="6">
        <v>45621</v>
      </c>
      <c r="C2636" s="1" t="str">
        <f>"01297"</f>
        <v>01297</v>
      </c>
      <c r="D2636" s="2" t="str">
        <f>"Видача довідок-характеристик на громадян"</f>
        <v>Видача довідок-характеристик на громадян</v>
      </c>
      <c r="E2636" s="1" t="s">
        <v>20</v>
      </c>
      <c r="F2636" s="1" t="str">
        <f t="shared" si="377"/>
        <v>Центр надання адміністративних послуг Рогатинської міської ради</v>
      </c>
      <c r="G2636" s="1" t="str">
        <f>"Юридична особа"</f>
        <v>Юридична особа</v>
      </c>
      <c r="H2636" s="1" t="str">
        <f>"відділення поліції №4 (м.Рогатин) Івано-Франківського районного управління поліції ГУНП в Івано-Франківській області"</f>
        <v>відділення поліції №4 (м.Рогатин) Івано-Франківського районного управління поліції ГУНП в Івано-Франківській області</v>
      </c>
      <c r="I2636" s="1" t="s">
        <v>20</v>
      </c>
      <c r="J2636" s="1" t="str">
        <f t="shared" si="378"/>
        <v>Закрито</v>
      </c>
      <c r="K2636" s="5">
        <v>45621</v>
      </c>
      <c r="L2636" s="1" t="s">
        <v>20</v>
      </c>
      <c r="M2636" s="1" t="s">
        <v>22</v>
      </c>
      <c r="N2636" s="5">
        <v>45621</v>
      </c>
    </row>
    <row r="2637" spans="1:14" x14ac:dyDescent="0.3">
      <c r="A2637" s="1" t="str">
        <f>"1_6033/2129-11/2024/в"</f>
        <v>1_6033/2129-11/2024/в</v>
      </c>
      <c r="B2637" s="6">
        <v>45621</v>
      </c>
      <c r="C2637" s="1" t="str">
        <f>"01297"</f>
        <v>01297</v>
      </c>
      <c r="D2637" s="2" t="str">
        <f>"Видача довідок-характеристик на громадян"</f>
        <v>Видача довідок-характеристик на громадян</v>
      </c>
      <c r="E2637" s="1" t="s">
        <v>20</v>
      </c>
      <c r="F2637" s="1" t="str">
        <f t="shared" si="377"/>
        <v>Центр надання адміністративних послуг Рогатинської міської ради</v>
      </c>
      <c r="G2637" s="1" t="str">
        <f>"Юридична особа"</f>
        <v>Юридична особа</v>
      </c>
      <c r="H2637" s="1" t="str">
        <f>"відділення поліції №4 (м.Рогатин) Івано-Франківського районного управління поліції ГУНП в Івано-Франківській області"</f>
        <v>відділення поліції №4 (м.Рогатин) Івано-Франківського районного управління поліції ГУНП в Івано-Франківській області</v>
      </c>
      <c r="I2637" s="1" t="s">
        <v>20</v>
      </c>
      <c r="J2637" s="1" t="str">
        <f t="shared" si="378"/>
        <v>Закрито</v>
      </c>
      <c r="K2637" s="5">
        <v>45621</v>
      </c>
      <c r="L2637" s="1" t="s">
        <v>20</v>
      </c>
      <c r="M2637" s="1" t="s">
        <v>22</v>
      </c>
      <c r="N2637" s="5">
        <v>45621</v>
      </c>
    </row>
    <row r="2638" spans="1:14" x14ac:dyDescent="0.3">
      <c r="A2638" s="1" t="str">
        <f>"2_2135/2129-11/2024/Щ"</f>
        <v>2_2135/2129-11/2024/Щ</v>
      </c>
      <c r="B2638" s="6">
        <v>45621</v>
      </c>
      <c r="C2638" s="1" t="str">
        <f>"00042"</f>
        <v>00042</v>
      </c>
      <c r="D2638" s="2" t="str">
        <f>"Державна реєстрація речового права, похідного від права власності"</f>
        <v>Державна реєстрація речового права, похідного від права власності</v>
      </c>
      <c r="E2638" s="1" t="s">
        <v>20</v>
      </c>
      <c r="F2638" s="1" t="str">
        <f t="shared" si="377"/>
        <v>Центр надання адміністративних послуг Рогатинської міської ради</v>
      </c>
      <c r="G2638" s="1" t="str">
        <f t="shared" ref="G2638:G2643" si="381">"Фізична особа"</f>
        <v>Фізична особа</v>
      </c>
      <c r="H2638" s="1" t="s">
        <v>20</v>
      </c>
      <c r="I2638" s="1" t="s">
        <v>20</v>
      </c>
      <c r="J2638" s="1" t="str">
        <f t="shared" si="378"/>
        <v>Закрито</v>
      </c>
      <c r="K2638" s="5">
        <v>45622</v>
      </c>
      <c r="L2638" s="1" t="s">
        <v>20</v>
      </c>
      <c r="M2638" s="1" t="s">
        <v>22</v>
      </c>
      <c r="N2638" s="5">
        <v>45622</v>
      </c>
    </row>
    <row r="2639" spans="1:14" x14ac:dyDescent="0.3">
      <c r="A2639" s="1" t="str">
        <f>"2_2136/2129-11/2024/П"</f>
        <v>2_2136/2129-11/2024/П</v>
      </c>
      <c r="B2639" s="6">
        <v>45621</v>
      </c>
      <c r="C2639" s="1" t="str">
        <f>"00041"</f>
        <v>00041</v>
      </c>
      <c r="D263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639" s="1" t="s">
        <v>20</v>
      </c>
      <c r="F2639" s="1" t="str">
        <f t="shared" si="377"/>
        <v>Центр надання адміністративних послуг Рогатинської міської ради</v>
      </c>
      <c r="G2639" s="1" t="str">
        <f t="shared" si="381"/>
        <v>Фізична особа</v>
      </c>
      <c r="H2639" s="1" t="s">
        <v>20</v>
      </c>
      <c r="I2639" s="1" t="s">
        <v>20</v>
      </c>
      <c r="J2639" s="1" t="str">
        <f t="shared" si="378"/>
        <v>Закрито</v>
      </c>
      <c r="K2639" s="5">
        <v>45622</v>
      </c>
      <c r="L2639" s="1" t="s">
        <v>20</v>
      </c>
      <c r="M2639" s="1" t="s">
        <v>22</v>
      </c>
      <c r="N2639" s="5">
        <v>45622</v>
      </c>
    </row>
    <row r="2640" spans="1:14" x14ac:dyDescent="0.3">
      <c r="A2640" s="1" t="str">
        <f>"2_2137/2129-11/2024/Г"</f>
        <v>2_2137/2129-11/2024/Г</v>
      </c>
      <c r="B2640" s="6">
        <v>45621</v>
      </c>
      <c r="C2640" s="1" t="str">
        <f>"00041"</f>
        <v>00041</v>
      </c>
      <c r="D264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640" s="1" t="s">
        <v>20</v>
      </c>
      <c r="F2640" s="1" t="str">
        <f t="shared" si="377"/>
        <v>Центр надання адміністративних послуг Рогатинської міської ради</v>
      </c>
      <c r="G2640" s="1" t="str">
        <f t="shared" si="381"/>
        <v>Фізична особа</v>
      </c>
      <c r="H2640" s="1" t="s">
        <v>20</v>
      </c>
      <c r="I2640" s="1" t="s">
        <v>20</v>
      </c>
      <c r="J2640" s="1" t="str">
        <f t="shared" si="378"/>
        <v>Закрито</v>
      </c>
      <c r="K2640" s="5">
        <v>45622</v>
      </c>
      <c r="L2640" s="1" t="s">
        <v>20</v>
      </c>
      <c r="M2640" s="1" t="s">
        <v>22</v>
      </c>
      <c r="N2640" s="5">
        <v>45622</v>
      </c>
    </row>
    <row r="2641" spans="1:14" x14ac:dyDescent="0.3">
      <c r="A2641" s="1" t="str">
        <f>"3_1428/4-11/2024/Я"</f>
        <v>3_1428/4-11/2024/Я</v>
      </c>
      <c r="B2641" s="6">
        <v>45621</v>
      </c>
      <c r="C2641" s="1" t="str">
        <f>"00060"</f>
        <v>00060</v>
      </c>
      <c r="D2641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641" s="1" t="s">
        <v>20</v>
      </c>
      <c r="F2641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641" s="1" t="str">
        <f t="shared" si="381"/>
        <v>Фізична особа</v>
      </c>
      <c r="H2641" s="1" t="s">
        <v>20</v>
      </c>
      <c r="I2641" s="1" t="s">
        <v>20</v>
      </c>
      <c r="J2641" s="1" t="str">
        <f>"Результат підготовлено СНАП"</f>
        <v>Результат підготовлено СНАП</v>
      </c>
      <c r="K2641" s="5">
        <v>45623</v>
      </c>
      <c r="L2641" s="1" t="str">
        <f>"151.4"</f>
        <v>151.4</v>
      </c>
      <c r="M2641" s="1" t="s">
        <v>22</v>
      </c>
      <c r="N2641" s="1" t="s">
        <v>20</v>
      </c>
    </row>
    <row r="2642" spans="1:14" x14ac:dyDescent="0.3">
      <c r="A2642" s="1" t="str">
        <f>"2_2138/2129-11/2024/В"</f>
        <v>2_2138/2129-11/2024/В</v>
      </c>
      <c r="B2642" s="6">
        <v>45621</v>
      </c>
      <c r="C2642" s="1" t="str">
        <f>"00041"</f>
        <v>00041</v>
      </c>
      <c r="D264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642" s="1" t="s">
        <v>20</v>
      </c>
      <c r="F264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42" s="1" t="str">
        <f t="shared" si="381"/>
        <v>Фізична особа</v>
      </c>
      <c r="H2642" s="1" t="s">
        <v>20</v>
      </c>
      <c r="I2642" s="1" t="s">
        <v>20</v>
      </c>
      <c r="J2642" s="1" t="str">
        <f>"Закрито"</f>
        <v>Закрито</v>
      </c>
      <c r="K2642" s="5">
        <v>45622</v>
      </c>
      <c r="L2642" s="1" t="s">
        <v>20</v>
      </c>
      <c r="M2642" s="1" t="s">
        <v>22</v>
      </c>
      <c r="N2642" s="5">
        <v>45622</v>
      </c>
    </row>
    <row r="2643" spans="1:14" x14ac:dyDescent="0.3">
      <c r="A2643" s="1" t="str">
        <f>"31_509-11/2024/Т"</f>
        <v>31_509-11/2024/Т</v>
      </c>
      <c r="B2643" s="6">
        <v>45621</v>
      </c>
      <c r="C2643" s="1" t="str">
        <f>"00155"</f>
        <v>00155</v>
      </c>
      <c r="D2643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43" s="1" t="str">
        <f>"03193413"</f>
        <v>03193413</v>
      </c>
      <c r="F264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43" s="1" t="str">
        <f t="shared" si="381"/>
        <v>Фізична особа</v>
      </c>
      <c r="H2643" s="1" t="s">
        <v>20</v>
      </c>
      <c r="I2643" s="1" t="s">
        <v>20</v>
      </c>
      <c r="J2643" s="1" t="str">
        <f>"На обробці в СНАП"</f>
        <v>На обробці в СНАП</v>
      </c>
      <c r="K2643" s="1" t="s">
        <v>20</v>
      </c>
      <c r="L2643" s="1" t="s">
        <v>20</v>
      </c>
      <c r="M2643" s="1" t="s">
        <v>22</v>
      </c>
      <c r="N2643" s="1" t="s">
        <v>20</v>
      </c>
    </row>
    <row r="2644" spans="1:14" x14ac:dyDescent="0.3">
      <c r="A2644" s="1" t="str">
        <f>"9_1712/04054323-11/2024/К"</f>
        <v>9_1712/04054323-11/2024/К</v>
      </c>
      <c r="B2644" s="6">
        <v>45621</v>
      </c>
      <c r="C2644" s="1" t="str">
        <f>"01-1"</f>
        <v>01-1</v>
      </c>
      <c r="D2644" s="2" t="s">
        <v>0</v>
      </c>
      <c r="E2644" s="1" t="str">
        <f>"04054323"</f>
        <v>04054323</v>
      </c>
      <c r="F2644" s="1" t="str">
        <f>"Рогатинська міська рада"</f>
        <v>Рогатинська міська рада</v>
      </c>
      <c r="G2644" s="1" t="s">
        <v>21</v>
      </c>
      <c r="H2644" s="1" t="s">
        <v>20</v>
      </c>
      <c r="I2644" s="1" t="s">
        <v>20</v>
      </c>
      <c r="J2644" s="1" t="str">
        <f>"На обробці в СНАП"</f>
        <v>На обробці в СНАП</v>
      </c>
      <c r="K2644" s="1" t="s">
        <v>20</v>
      </c>
      <c r="L2644" s="1" t="s">
        <v>20</v>
      </c>
      <c r="M2644" s="1" t="s">
        <v>22</v>
      </c>
      <c r="N2644" s="1" t="s">
        <v>20</v>
      </c>
    </row>
    <row r="2645" spans="1:14" x14ac:dyDescent="0.3">
      <c r="A2645" s="1" t="str">
        <f>"9_1713/04054323-11/2024/М"</f>
        <v>9_1713/04054323-11/2024/М</v>
      </c>
      <c r="B2645" s="6">
        <v>45621</v>
      </c>
      <c r="C2645" s="1" t="str">
        <f>"01"</f>
        <v>01</v>
      </c>
      <c r="D2645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2645" s="1" t="str">
        <f>"04054323"</f>
        <v>04054323</v>
      </c>
      <c r="F2645" s="1" t="str">
        <f>"Рогатинська міська рада"</f>
        <v>Рогатинська міська рада</v>
      </c>
      <c r="G2645" s="1" t="str">
        <f t="shared" ref="G2645:G2676" si="382">"Фізична особа"</f>
        <v>Фізична особа</v>
      </c>
      <c r="H2645" s="1" t="s">
        <v>20</v>
      </c>
      <c r="I2645" s="1" t="s">
        <v>20</v>
      </c>
      <c r="J2645" s="1" t="str">
        <f>"На обробці в СНАП"</f>
        <v>На обробці в СНАП</v>
      </c>
      <c r="K2645" s="1" t="s">
        <v>20</v>
      </c>
      <c r="L2645" s="1" t="s">
        <v>20</v>
      </c>
      <c r="M2645" s="1" t="s">
        <v>22</v>
      </c>
      <c r="N2645" s="1" t="s">
        <v>20</v>
      </c>
    </row>
    <row r="2646" spans="1:14" x14ac:dyDescent="0.3">
      <c r="A2646" s="1" t="str">
        <f>"2_2139/2129-11/2024/С"</f>
        <v>2_2139/2129-11/2024/С</v>
      </c>
      <c r="B2646" s="6">
        <v>45621</v>
      </c>
      <c r="C2646" s="1" t="str">
        <f>"00041"</f>
        <v>00041</v>
      </c>
      <c r="D264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646" s="1" t="s">
        <v>20</v>
      </c>
      <c r="F264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46" s="1" t="str">
        <f t="shared" si="382"/>
        <v>Фізична особа</v>
      </c>
      <c r="H2646" s="1" t="s">
        <v>20</v>
      </c>
      <c r="I2646" s="1" t="s">
        <v>20</v>
      </c>
      <c r="J2646" s="1" t="str">
        <f>"Закрито"</f>
        <v>Закрито</v>
      </c>
      <c r="K2646" s="5">
        <v>45622</v>
      </c>
      <c r="L2646" s="1" t="s">
        <v>20</v>
      </c>
      <c r="M2646" s="1" t="s">
        <v>22</v>
      </c>
      <c r="N2646" s="5">
        <v>45622</v>
      </c>
    </row>
    <row r="2647" spans="1:14" x14ac:dyDescent="0.3">
      <c r="A2647" s="1" t="str">
        <f>"9_1714/04054323-11/2024/М"</f>
        <v>9_1714/04054323-11/2024/М</v>
      </c>
      <c r="B2647" s="6">
        <v>45621</v>
      </c>
      <c r="C2647" s="1" t="str">
        <f>"01-1"</f>
        <v>01-1</v>
      </c>
      <c r="D2647" s="2" t="s">
        <v>0</v>
      </c>
      <c r="E2647" s="1" t="str">
        <f>"04054323"</f>
        <v>04054323</v>
      </c>
      <c r="F2647" s="1" t="str">
        <f>"Рогатинська міська рада"</f>
        <v>Рогатинська міська рада</v>
      </c>
      <c r="G2647" s="1" t="str">
        <f t="shared" si="382"/>
        <v>Фізична особа</v>
      </c>
      <c r="H2647" s="1" t="s">
        <v>20</v>
      </c>
      <c r="I2647" s="1" t="s">
        <v>20</v>
      </c>
      <c r="J2647" s="1" t="str">
        <f>"На обробці в СНАП"</f>
        <v>На обробці в СНАП</v>
      </c>
      <c r="K2647" s="1" t="s">
        <v>20</v>
      </c>
      <c r="L2647" s="1" t="s">
        <v>20</v>
      </c>
      <c r="M2647" s="1" t="s">
        <v>22</v>
      </c>
      <c r="N2647" s="1" t="s">
        <v>20</v>
      </c>
    </row>
    <row r="2648" spans="1:14" x14ac:dyDescent="0.3">
      <c r="A2648" s="1" t="str">
        <f>"2_2140/2129-11/2024/С"</f>
        <v>2_2140/2129-11/2024/С</v>
      </c>
      <c r="B2648" s="6">
        <v>45621</v>
      </c>
      <c r="C2648" s="1" t="str">
        <f>"00041"</f>
        <v>00041</v>
      </c>
      <c r="D264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648" s="1" t="s">
        <v>20</v>
      </c>
      <c r="F2648" s="1" t="str">
        <f t="shared" ref="F2648:F2653" si="383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48" s="1" t="str">
        <f t="shared" si="382"/>
        <v>Фізична особа</v>
      </c>
      <c r="H2648" s="1" t="s">
        <v>20</v>
      </c>
      <c r="I2648" s="1" t="s">
        <v>20</v>
      </c>
      <c r="J2648" s="1" t="str">
        <f t="shared" ref="J2648:J2663" si="384">"Закрито"</f>
        <v>Закрито</v>
      </c>
      <c r="K2648" s="5">
        <v>45622</v>
      </c>
      <c r="L2648" s="1" t="s">
        <v>20</v>
      </c>
      <c r="M2648" s="1" t="s">
        <v>22</v>
      </c>
      <c r="N2648" s="5">
        <v>45622</v>
      </c>
    </row>
    <row r="2649" spans="1:14" x14ac:dyDescent="0.3">
      <c r="A2649" s="1" t="str">
        <f>"2_2141/2129-11/2024/М"</f>
        <v>2_2141/2129-11/2024/М</v>
      </c>
      <c r="B2649" s="6">
        <v>45621</v>
      </c>
      <c r="C2649" s="1" t="str">
        <f>"00041"</f>
        <v>00041</v>
      </c>
      <c r="D264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649" s="1" t="s">
        <v>20</v>
      </c>
      <c r="F2649" s="1" t="str">
        <f t="shared" si="383"/>
        <v>Центр надання адміністративних послуг Рогатинської міської ради</v>
      </c>
      <c r="G2649" s="1" t="str">
        <f t="shared" si="382"/>
        <v>Фізична особа</v>
      </c>
      <c r="H2649" s="1" t="s">
        <v>20</v>
      </c>
      <c r="I2649" s="1" t="s">
        <v>20</v>
      </c>
      <c r="J2649" s="1" t="str">
        <f t="shared" si="384"/>
        <v>Закрито</v>
      </c>
      <c r="K2649" s="5">
        <v>45622</v>
      </c>
      <c r="L2649" s="1" t="s">
        <v>20</v>
      </c>
      <c r="M2649" s="1" t="s">
        <v>22</v>
      </c>
      <c r="N2649" s="5">
        <v>45622</v>
      </c>
    </row>
    <row r="2650" spans="1:14" x14ac:dyDescent="0.3">
      <c r="A2650" s="1" t="str">
        <f>"2_2142/2129-11/2024/М"</f>
        <v>2_2142/2129-11/2024/М</v>
      </c>
      <c r="B2650" s="6">
        <v>45621</v>
      </c>
      <c r="C2650" s="1" t="str">
        <f>"00041"</f>
        <v>00041</v>
      </c>
      <c r="D265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650" s="1" t="s">
        <v>20</v>
      </c>
      <c r="F2650" s="1" t="str">
        <f t="shared" si="383"/>
        <v>Центр надання адміністративних послуг Рогатинської міської ради</v>
      </c>
      <c r="G2650" s="1" t="str">
        <f t="shared" si="382"/>
        <v>Фізична особа</v>
      </c>
      <c r="H2650" s="1" t="s">
        <v>20</v>
      </c>
      <c r="I2650" s="1" t="s">
        <v>20</v>
      </c>
      <c r="J2650" s="1" t="str">
        <f t="shared" si="384"/>
        <v>Закрито</v>
      </c>
      <c r="K2650" s="5">
        <v>45622</v>
      </c>
      <c r="L2650" s="1" t="s">
        <v>20</v>
      </c>
      <c r="M2650" s="1" t="s">
        <v>22</v>
      </c>
      <c r="N2650" s="5">
        <v>45622</v>
      </c>
    </row>
    <row r="2651" spans="1:14" x14ac:dyDescent="0.3">
      <c r="A2651" s="1" t="str">
        <f>"2_2143/2129-11/2024/М"</f>
        <v>2_2143/2129-11/2024/М</v>
      </c>
      <c r="B2651" s="6">
        <v>45621</v>
      </c>
      <c r="C2651" s="1" t="str">
        <f>"00041"</f>
        <v>00041</v>
      </c>
      <c r="D265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651" s="1" t="s">
        <v>20</v>
      </c>
      <c r="F2651" s="1" t="str">
        <f t="shared" si="383"/>
        <v>Центр надання адміністративних послуг Рогатинської міської ради</v>
      </c>
      <c r="G2651" s="1" t="str">
        <f t="shared" si="382"/>
        <v>Фізична особа</v>
      </c>
      <c r="H2651" s="1" t="s">
        <v>20</v>
      </c>
      <c r="I2651" s="1" t="s">
        <v>20</v>
      </c>
      <c r="J2651" s="1" t="str">
        <f t="shared" si="384"/>
        <v>Закрито</v>
      </c>
      <c r="K2651" s="5">
        <v>45622</v>
      </c>
      <c r="L2651" s="1" t="s">
        <v>20</v>
      </c>
      <c r="M2651" s="1" t="s">
        <v>22</v>
      </c>
      <c r="N2651" s="5">
        <v>45622</v>
      </c>
    </row>
    <row r="2652" spans="1:14" x14ac:dyDescent="0.3">
      <c r="A2652" s="1" t="str">
        <f>"2_2144/2129-11/2024/М"</f>
        <v>2_2144/2129-11/2024/М</v>
      </c>
      <c r="B2652" s="6">
        <v>45621</v>
      </c>
      <c r="C2652" s="1" t="str">
        <f>"00041"</f>
        <v>00041</v>
      </c>
      <c r="D265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652" s="1" t="s">
        <v>20</v>
      </c>
      <c r="F2652" s="1" t="str">
        <f t="shared" si="383"/>
        <v>Центр надання адміністративних послуг Рогатинської міської ради</v>
      </c>
      <c r="G2652" s="1" t="str">
        <f t="shared" si="382"/>
        <v>Фізична особа</v>
      </c>
      <c r="H2652" s="1" t="s">
        <v>20</v>
      </c>
      <c r="I2652" s="1" t="s">
        <v>20</v>
      </c>
      <c r="J2652" s="1" t="str">
        <f t="shared" si="384"/>
        <v>Закрито</v>
      </c>
      <c r="K2652" s="5">
        <v>45622</v>
      </c>
      <c r="L2652" s="1" t="s">
        <v>20</v>
      </c>
      <c r="M2652" s="1" t="s">
        <v>22</v>
      </c>
      <c r="N2652" s="5">
        <v>45622</v>
      </c>
    </row>
    <row r="2653" spans="1:14" x14ac:dyDescent="0.3">
      <c r="A2653" s="1" t="str">
        <f>"3_877-11/2024/К"</f>
        <v>3_877-11/2024/К</v>
      </c>
      <c r="B2653" s="6">
        <v>45621</v>
      </c>
      <c r="C2653" s="1" t="str">
        <f>"00038"</f>
        <v>00038</v>
      </c>
      <c r="D265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653" s="1" t="s">
        <v>20</v>
      </c>
      <c r="F2653" s="1" t="str">
        <f t="shared" si="383"/>
        <v>Центр надання адміністративних послуг Рогатинської міської ради</v>
      </c>
      <c r="G2653" s="1" t="str">
        <f t="shared" si="382"/>
        <v>Фізична особа</v>
      </c>
      <c r="H2653" s="1" t="s">
        <v>20</v>
      </c>
      <c r="I2653" s="1" t="s">
        <v>20</v>
      </c>
      <c r="J2653" s="1" t="str">
        <f t="shared" si="384"/>
        <v>Закрито</v>
      </c>
      <c r="K2653" s="5">
        <v>45621</v>
      </c>
      <c r="L2653" s="1" t="s">
        <v>20</v>
      </c>
      <c r="M2653" s="1" t="s">
        <v>22</v>
      </c>
      <c r="N2653" s="5">
        <v>45621</v>
      </c>
    </row>
    <row r="2654" spans="1:14" x14ac:dyDescent="0.3">
      <c r="A2654" s="1" t="str">
        <f>"16_695-11/2024/Я"</f>
        <v>16_695-11/2024/Я</v>
      </c>
      <c r="B2654" s="6">
        <v>45621</v>
      </c>
      <c r="C2654" s="1" t="str">
        <f>"00064"</f>
        <v>00064</v>
      </c>
      <c r="D2654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654" s="1" t="s">
        <v>20</v>
      </c>
      <c r="F2654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654" s="1" t="str">
        <f t="shared" si="382"/>
        <v>Фізична особа</v>
      </c>
      <c r="H2654" s="1" t="s">
        <v>20</v>
      </c>
      <c r="I2654" s="1" t="s">
        <v>20</v>
      </c>
      <c r="J2654" s="1" t="str">
        <f t="shared" si="384"/>
        <v>Закрито</v>
      </c>
      <c r="K2654" s="5">
        <v>45621</v>
      </c>
      <c r="L2654" s="1" t="s">
        <v>20</v>
      </c>
      <c r="M2654" s="1" t="s">
        <v>22</v>
      </c>
      <c r="N2654" s="5">
        <v>45621</v>
      </c>
    </row>
    <row r="2655" spans="1:14" x14ac:dyDescent="0.3">
      <c r="A2655" s="1" t="str">
        <f>"16_696-11/2024/Я"</f>
        <v>16_696-11/2024/Я</v>
      </c>
      <c r="B2655" s="6">
        <v>45621</v>
      </c>
      <c r="C2655" s="1" t="str">
        <f>"01974"</f>
        <v>01974</v>
      </c>
      <c r="D2655" s="2" t="str">
        <f>"Призначення пільги на оплату житла, комунальних послуг"</f>
        <v>Призначення пільги на оплату житла, комунальних послуг</v>
      </c>
      <c r="E2655" s="1" t="str">
        <f>"03193413"</f>
        <v>03193413</v>
      </c>
      <c r="F265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55" s="1" t="str">
        <f t="shared" si="382"/>
        <v>Фізична особа</v>
      </c>
      <c r="H2655" s="1" t="s">
        <v>20</v>
      </c>
      <c r="I2655" s="1" t="s">
        <v>20</v>
      </c>
      <c r="J2655" s="1" t="str">
        <f t="shared" si="384"/>
        <v>Закрито</v>
      </c>
      <c r="K2655" s="5">
        <v>45639</v>
      </c>
      <c r="L2655" s="1" t="s">
        <v>20</v>
      </c>
      <c r="M2655" s="1" t="s">
        <v>22</v>
      </c>
      <c r="N2655" s="5">
        <v>45639</v>
      </c>
    </row>
    <row r="2656" spans="1:14" x14ac:dyDescent="0.3">
      <c r="A2656" s="1" t="str">
        <f>"14_1029-11/2024/Р"</f>
        <v>14_1029-11/2024/Р</v>
      </c>
      <c r="B2656" s="6">
        <v>45621</v>
      </c>
      <c r="C2656" s="1" t="str">
        <f>"33"</f>
        <v>33</v>
      </c>
      <c r="D2656" s="2" t="str">
        <f>"33 Довідки різного характеру"</f>
        <v>33 Довідки різного характеру</v>
      </c>
      <c r="E2656" s="1" t="s">
        <v>20</v>
      </c>
      <c r="F265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56" s="1" t="str">
        <f t="shared" si="382"/>
        <v>Фізична особа</v>
      </c>
      <c r="H2656" s="1" t="s">
        <v>20</v>
      </c>
      <c r="I2656" s="1" t="s">
        <v>20</v>
      </c>
      <c r="J2656" s="1" t="str">
        <f t="shared" si="384"/>
        <v>Закрито</v>
      </c>
      <c r="K2656" s="5">
        <v>45629</v>
      </c>
      <c r="L2656" s="1" t="s">
        <v>20</v>
      </c>
      <c r="M2656" s="1" t="s">
        <v>22</v>
      </c>
      <c r="N2656" s="5">
        <v>45629</v>
      </c>
    </row>
    <row r="2657" spans="1:14" x14ac:dyDescent="0.3">
      <c r="A2657" s="1" t="str">
        <f>"30_634-11/2024/Б"</f>
        <v>30_634-11/2024/Б</v>
      </c>
      <c r="B2657" s="6">
        <v>45621</v>
      </c>
      <c r="C2657" s="1" t="str">
        <f>"00038"</f>
        <v>00038</v>
      </c>
      <c r="D265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657" s="1" t="s">
        <v>20</v>
      </c>
      <c r="F26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57" s="1" t="str">
        <f t="shared" si="382"/>
        <v>Фізична особа</v>
      </c>
      <c r="H2657" s="1" t="s">
        <v>20</v>
      </c>
      <c r="I2657" s="1" t="s">
        <v>20</v>
      </c>
      <c r="J2657" s="1" t="str">
        <f t="shared" si="384"/>
        <v>Закрито</v>
      </c>
      <c r="K2657" s="5">
        <v>45621</v>
      </c>
      <c r="L2657" s="1" t="s">
        <v>20</v>
      </c>
      <c r="M2657" s="1" t="s">
        <v>22</v>
      </c>
      <c r="N2657" s="5">
        <v>45621</v>
      </c>
    </row>
    <row r="2658" spans="1:14" x14ac:dyDescent="0.3">
      <c r="A2658" s="1" t="str">
        <f>"1_6034/2129-11/2024/Б"</f>
        <v>1_6034/2129-11/2024/Б</v>
      </c>
      <c r="B2658" s="6">
        <v>45621</v>
      </c>
      <c r="C2658" s="1" t="str">
        <f>"00038"</f>
        <v>00038</v>
      </c>
      <c r="D265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658" s="1" t="s">
        <v>20</v>
      </c>
      <c r="F265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58" s="1" t="str">
        <f t="shared" si="382"/>
        <v>Фізична особа</v>
      </c>
      <c r="H2658" s="1" t="s">
        <v>20</v>
      </c>
      <c r="I2658" s="1" t="s">
        <v>20</v>
      </c>
      <c r="J2658" s="1" t="str">
        <f t="shared" si="384"/>
        <v>Закрито</v>
      </c>
      <c r="K2658" s="5">
        <v>45621</v>
      </c>
      <c r="L2658" s="1" t="s">
        <v>20</v>
      </c>
      <c r="M2658" s="1" t="s">
        <v>22</v>
      </c>
      <c r="N2658" s="5">
        <v>45621</v>
      </c>
    </row>
    <row r="2659" spans="1:14" x14ac:dyDescent="0.3">
      <c r="A2659" s="1" t="str">
        <f>"1_6035/2129-11/2024/Ш"</f>
        <v>1_6035/2129-11/2024/Ш</v>
      </c>
      <c r="B2659" s="6">
        <v>45621</v>
      </c>
      <c r="C2659" s="1" t="str">
        <f>"00038"</f>
        <v>00038</v>
      </c>
      <c r="D265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659" s="1" t="s">
        <v>20</v>
      </c>
      <c r="F26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59" s="1" t="str">
        <f t="shared" si="382"/>
        <v>Фізична особа</v>
      </c>
      <c r="H2659" s="1" t="s">
        <v>20</v>
      </c>
      <c r="I2659" s="1" t="s">
        <v>20</v>
      </c>
      <c r="J2659" s="1" t="str">
        <f t="shared" si="384"/>
        <v>Закрито</v>
      </c>
      <c r="K2659" s="5">
        <v>45621</v>
      </c>
      <c r="L2659" s="1" t="s">
        <v>20</v>
      </c>
      <c r="M2659" s="1" t="s">
        <v>22</v>
      </c>
      <c r="N2659" s="5">
        <v>45621</v>
      </c>
    </row>
    <row r="2660" spans="1:14" x14ac:dyDescent="0.3">
      <c r="A2660" s="1" t="str">
        <f>"3_1429/4-11/2024/В"</f>
        <v>3_1429/4-11/2024/В</v>
      </c>
      <c r="B2660" s="6">
        <v>45621</v>
      </c>
      <c r="C2660" s="1" t="str">
        <f>"00060"</f>
        <v>00060</v>
      </c>
      <c r="D2660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660" s="1" t="s">
        <v>20</v>
      </c>
      <c r="F2660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660" s="1" t="str">
        <f t="shared" si="382"/>
        <v>Фізична особа</v>
      </c>
      <c r="H2660" s="1" t="s">
        <v>20</v>
      </c>
      <c r="I2660" s="1" t="s">
        <v>20</v>
      </c>
      <c r="J2660" s="1" t="str">
        <f t="shared" si="384"/>
        <v>Закрито</v>
      </c>
      <c r="K2660" s="5">
        <v>45621</v>
      </c>
      <c r="L2660" s="1" t="str">
        <f>"151.4"</f>
        <v>151.4</v>
      </c>
      <c r="M2660" s="1" t="s">
        <v>22</v>
      </c>
      <c r="N2660" s="5">
        <v>45621</v>
      </c>
    </row>
    <row r="2661" spans="1:14" x14ac:dyDescent="0.3">
      <c r="A2661" s="1" t="str">
        <f>"28_661-11/2024/Ч"</f>
        <v>28_661-11/2024/Ч</v>
      </c>
      <c r="B2661" s="6">
        <v>45621</v>
      </c>
      <c r="C2661" s="1" t="str">
        <f>"00155"</f>
        <v>00155</v>
      </c>
      <c r="D2661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61" s="1" t="str">
        <f>"03193413"</f>
        <v>03193413</v>
      </c>
      <c r="F266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61" s="1" t="str">
        <f t="shared" si="382"/>
        <v>Фізична особа</v>
      </c>
      <c r="H2661" s="1" t="s">
        <v>20</v>
      </c>
      <c r="I2661" s="1" t="s">
        <v>20</v>
      </c>
      <c r="J2661" s="1" t="str">
        <f t="shared" si="384"/>
        <v>Закрито</v>
      </c>
      <c r="K2661" s="5">
        <v>45621</v>
      </c>
      <c r="L2661" s="1" t="s">
        <v>20</v>
      </c>
      <c r="M2661" s="1" t="s">
        <v>22</v>
      </c>
      <c r="N2661" s="5">
        <v>45621</v>
      </c>
    </row>
    <row r="2662" spans="1:14" x14ac:dyDescent="0.3">
      <c r="A2662" s="1" t="str">
        <f>"30_635-11/2024/Б"</f>
        <v>30_635-11/2024/Б</v>
      </c>
      <c r="B2662" s="6">
        <v>45621</v>
      </c>
      <c r="C2662" s="1" t="str">
        <f>"00155"</f>
        <v>00155</v>
      </c>
      <c r="D2662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62" s="1" t="str">
        <f>"03193413"</f>
        <v>03193413</v>
      </c>
      <c r="F266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62" s="1" t="str">
        <f t="shared" si="382"/>
        <v>Фізична особа</v>
      </c>
      <c r="H2662" s="1" t="s">
        <v>20</v>
      </c>
      <c r="I2662" s="1" t="s">
        <v>20</v>
      </c>
      <c r="J2662" s="1" t="str">
        <f t="shared" si="384"/>
        <v>Закрито</v>
      </c>
      <c r="K2662" s="5">
        <v>45653</v>
      </c>
      <c r="L2662" s="1" t="s">
        <v>20</v>
      </c>
      <c r="M2662" s="1" t="s">
        <v>22</v>
      </c>
      <c r="N2662" s="5">
        <v>45653</v>
      </c>
    </row>
    <row r="2663" spans="1:14" x14ac:dyDescent="0.3">
      <c r="A2663" s="1" t="str">
        <f>"3_1430/4-11/2024/В"</f>
        <v>3_1430/4-11/2024/В</v>
      </c>
      <c r="B2663" s="6">
        <v>45621</v>
      </c>
      <c r="C2663" s="1" t="str">
        <f>"00060"</f>
        <v>00060</v>
      </c>
      <c r="D2663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663" s="1" t="s">
        <v>20</v>
      </c>
      <c r="F2663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663" s="1" t="str">
        <f t="shared" si="382"/>
        <v>Фізична особа</v>
      </c>
      <c r="H2663" s="1" t="s">
        <v>20</v>
      </c>
      <c r="I2663" s="1" t="s">
        <v>20</v>
      </c>
      <c r="J2663" s="1" t="str">
        <f t="shared" si="384"/>
        <v>Закрито</v>
      </c>
      <c r="K2663" s="5">
        <v>45621</v>
      </c>
      <c r="L2663" s="1" t="s">
        <v>20</v>
      </c>
      <c r="M2663" s="1" t="s">
        <v>22</v>
      </c>
      <c r="N2663" s="5">
        <v>45621</v>
      </c>
    </row>
    <row r="2664" spans="1:14" x14ac:dyDescent="0.3">
      <c r="A2664" s="1" t="str">
        <f>"9_1715/04054323-11/2024/В"</f>
        <v>9_1715/04054323-11/2024/В</v>
      </c>
      <c r="B2664" s="6">
        <v>45621</v>
      </c>
      <c r="C2664" s="1" t="str">
        <f>"01-1"</f>
        <v>01-1</v>
      </c>
      <c r="D2664" s="2" t="s">
        <v>0</v>
      </c>
      <c r="E2664" s="1" t="str">
        <f>"04054323"</f>
        <v>04054323</v>
      </c>
      <c r="F2664" s="1" t="str">
        <f>"Рогатинська міська рада"</f>
        <v>Рогатинська міська рада</v>
      </c>
      <c r="G2664" s="1" t="str">
        <f t="shared" si="382"/>
        <v>Фізична особа</v>
      </c>
      <c r="H2664" s="1" t="s">
        <v>20</v>
      </c>
      <c r="I2664" s="1" t="s">
        <v>20</v>
      </c>
      <c r="J2664" s="1" t="str">
        <f>"На обробці в СНАП"</f>
        <v>На обробці в СНАП</v>
      </c>
      <c r="K2664" s="1" t="s">
        <v>20</v>
      </c>
      <c r="L2664" s="1" t="s">
        <v>20</v>
      </c>
      <c r="M2664" s="1" t="s">
        <v>22</v>
      </c>
      <c r="N2664" s="1" t="s">
        <v>20</v>
      </c>
    </row>
    <row r="2665" spans="1:14" x14ac:dyDescent="0.3">
      <c r="A2665" s="1" t="str">
        <f>"30_636-11/2024/Б"</f>
        <v>30_636-11/2024/Б</v>
      </c>
      <c r="B2665" s="6">
        <v>45621</v>
      </c>
      <c r="C2665" s="1" t="str">
        <f>"33"</f>
        <v>33</v>
      </c>
      <c r="D2665" s="2" t="str">
        <f>"33 Довідки різного характеру"</f>
        <v>33 Довідки різного характеру</v>
      </c>
      <c r="E2665" s="1" t="s">
        <v>20</v>
      </c>
      <c r="F266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65" s="1" t="str">
        <f t="shared" si="382"/>
        <v>Фізична особа</v>
      </c>
      <c r="H2665" s="1" t="s">
        <v>20</v>
      </c>
      <c r="I2665" s="1" t="s">
        <v>20</v>
      </c>
      <c r="J2665" s="1" t="str">
        <f>"Закрито"</f>
        <v>Закрито</v>
      </c>
      <c r="K2665" s="5">
        <v>45621</v>
      </c>
      <c r="L2665" s="1" t="s">
        <v>20</v>
      </c>
      <c r="M2665" s="1" t="s">
        <v>22</v>
      </c>
      <c r="N2665" s="5">
        <v>45621</v>
      </c>
    </row>
    <row r="2666" spans="1:14" x14ac:dyDescent="0.3">
      <c r="A2666" s="1" t="str">
        <f>"33_423-11/2024/Г"</f>
        <v>33_423-11/2024/Г</v>
      </c>
      <c r="B2666" s="6">
        <v>45621</v>
      </c>
      <c r="C2666" s="1" t="str">
        <f>"00155"</f>
        <v>00155</v>
      </c>
      <c r="D2666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66" s="1" t="str">
        <f>"03193413"</f>
        <v>03193413</v>
      </c>
      <c r="F266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66" s="1" t="str">
        <f t="shared" si="382"/>
        <v>Фізична особа</v>
      </c>
      <c r="H2666" s="1" t="s">
        <v>20</v>
      </c>
      <c r="I2666" s="1" t="s">
        <v>20</v>
      </c>
      <c r="J2666" s="1" t="str">
        <f>"На обробці в СНАП"</f>
        <v>На обробці в СНАП</v>
      </c>
      <c r="K2666" s="1" t="s">
        <v>20</v>
      </c>
      <c r="L2666" s="1" t="s">
        <v>20</v>
      </c>
      <c r="M2666" s="1" t="s">
        <v>22</v>
      </c>
      <c r="N2666" s="1" t="s">
        <v>20</v>
      </c>
    </row>
    <row r="2667" spans="1:14" x14ac:dyDescent="0.3">
      <c r="A2667" s="1" t="str">
        <f>"9_1716/04054323-11/2024/В"</f>
        <v>9_1716/04054323-11/2024/В</v>
      </c>
      <c r="B2667" s="6">
        <v>45621</v>
      </c>
      <c r="C2667" s="1" t="str">
        <f>"01"</f>
        <v>01</v>
      </c>
      <c r="D2667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2667" s="1" t="str">
        <f>"04054323"</f>
        <v>04054323</v>
      </c>
      <c r="F2667" s="1" t="str">
        <f>"Рогатинська міська рада"</f>
        <v>Рогатинська міська рада</v>
      </c>
      <c r="G2667" s="1" t="str">
        <f t="shared" si="382"/>
        <v>Фізична особа</v>
      </c>
      <c r="H2667" s="1" t="s">
        <v>20</v>
      </c>
      <c r="I2667" s="1" t="s">
        <v>20</v>
      </c>
      <c r="J2667" s="1" t="str">
        <f>"На обробці в СНАП"</f>
        <v>На обробці в СНАП</v>
      </c>
      <c r="K2667" s="1" t="s">
        <v>20</v>
      </c>
      <c r="L2667" s="1" t="s">
        <v>20</v>
      </c>
      <c r="M2667" s="1" t="s">
        <v>22</v>
      </c>
      <c r="N2667" s="1" t="s">
        <v>20</v>
      </c>
    </row>
    <row r="2668" spans="1:14" x14ac:dyDescent="0.3">
      <c r="A2668" s="1" t="str">
        <f>"4_1015-11/2024/Г"</f>
        <v>4_1015-11/2024/Г</v>
      </c>
      <c r="B2668" s="6">
        <v>45621</v>
      </c>
      <c r="C2668" s="1" t="str">
        <f>"00038"</f>
        <v>00038</v>
      </c>
      <c r="D266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668" s="1" t="s">
        <v>20</v>
      </c>
      <c r="F266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68" s="1" t="str">
        <f t="shared" si="382"/>
        <v>Фізична особа</v>
      </c>
      <c r="H2668" s="1" t="s">
        <v>20</v>
      </c>
      <c r="I2668" s="1" t="s">
        <v>20</v>
      </c>
      <c r="J2668" s="1" t="str">
        <f>"Закрито"</f>
        <v>Закрито</v>
      </c>
      <c r="K2668" s="5">
        <v>45621</v>
      </c>
      <c r="L2668" s="1" t="s">
        <v>20</v>
      </c>
      <c r="M2668" s="1" t="s">
        <v>22</v>
      </c>
      <c r="N2668" s="5">
        <v>45621</v>
      </c>
    </row>
    <row r="2669" spans="1:14" x14ac:dyDescent="0.3">
      <c r="A2669" s="1" t="str">
        <f>"4_1016-11/2024/Г"</f>
        <v>4_1016-11/2024/Г</v>
      </c>
      <c r="B2669" s="6">
        <v>45621</v>
      </c>
      <c r="C2669" s="1" t="str">
        <f>"00155"</f>
        <v>00155</v>
      </c>
      <c r="D2669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69" s="1" t="str">
        <f>"03193413"</f>
        <v>03193413</v>
      </c>
      <c r="F266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69" s="1" t="str">
        <f t="shared" si="382"/>
        <v>Фізична особа</v>
      </c>
      <c r="H2669" s="1" t="s">
        <v>20</v>
      </c>
      <c r="I2669" s="1" t="s">
        <v>20</v>
      </c>
      <c r="J2669" s="1" t="str">
        <f>"Заявника сповіщено про результат"</f>
        <v>Заявника сповіщено про результат</v>
      </c>
      <c r="K2669" s="5">
        <v>45631</v>
      </c>
      <c r="L2669" s="1" t="s">
        <v>20</v>
      </c>
      <c r="M2669" s="1" t="s">
        <v>22</v>
      </c>
      <c r="N2669" s="5">
        <v>45637</v>
      </c>
    </row>
    <row r="2670" spans="1:14" x14ac:dyDescent="0.3">
      <c r="A2670" s="1" t="str">
        <f>"4_1017-11/2024/К"</f>
        <v>4_1017-11/2024/К</v>
      </c>
      <c r="B2670" s="6">
        <v>45621</v>
      </c>
      <c r="C2670" s="1" t="str">
        <f>"00155"</f>
        <v>00155</v>
      </c>
      <c r="D2670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70" s="1" t="str">
        <f>"03193413"</f>
        <v>03193413</v>
      </c>
      <c r="F267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70" s="1" t="str">
        <f t="shared" si="382"/>
        <v>Фізична особа</v>
      </c>
      <c r="H2670" s="1" t="s">
        <v>20</v>
      </c>
      <c r="I2670" s="1" t="s">
        <v>20</v>
      </c>
      <c r="J2670" s="1" t="str">
        <f>"Заявника сповіщено про результат"</f>
        <v>Заявника сповіщено про результат</v>
      </c>
      <c r="K2670" s="5">
        <v>45631</v>
      </c>
      <c r="L2670" s="1" t="s">
        <v>20</v>
      </c>
      <c r="M2670" s="1" t="s">
        <v>22</v>
      </c>
      <c r="N2670" s="5">
        <v>45638</v>
      </c>
    </row>
    <row r="2671" spans="1:14" x14ac:dyDescent="0.3">
      <c r="A2671" s="1" t="str">
        <f>"4_1018-11/2024/К"</f>
        <v>4_1018-11/2024/К</v>
      </c>
      <c r="B2671" s="6">
        <v>45621</v>
      </c>
      <c r="C2671" s="1" t="str">
        <f>"00038"</f>
        <v>00038</v>
      </c>
      <c r="D267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671" s="1" t="s">
        <v>20</v>
      </c>
      <c r="F2671" s="1" t="str">
        <f t="shared" ref="F2671:F2677" si="385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71" s="1" t="str">
        <f t="shared" si="382"/>
        <v>Фізична особа</v>
      </c>
      <c r="H2671" s="1" t="s">
        <v>20</v>
      </c>
      <c r="I2671" s="1" t="s">
        <v>20</v>
      </c>
      <c r="J2671" s="1" t="str">
        <f t="shared" ref="J2671:J2680" si="386">"Закрито"</f>
        <v>Закрито</v>
      </c>
      <c r="K2671" s="5">
        <v>45621</v>
      </c>
      <c r="L2671" s="1" t="s">
        <v>20</v>
      </c>
      <c r="M2671" s="1" t="s">
        <v>22</v>
      </c>
      <c r="N2671" s="5">
        <v>45621</v>
      </c>
    </row>
    <row r="2672" spans="1:14" x14ac:dyDescent="0.3">
      <c r="A2672" s="1" t="str">
        <f>"4_1019-11/2024/К"</f>
        <v>4_1019-11/2024/К</v>
      </c>
      <c r="B2672" s="6">
        <v>45621</v>
      </c>
      <c r="C2672" s="1" t="str">
        <f>"33"</f>
        <v>33</v>
      </c>
      <c r="D2672" s="2" t="str">
        <f>"33 Довідки різного характеру"</f>
        <v>33 Довідки різного характеру</v>
      </c>
      <c r="E2672" s="1" t="s">
        <v>20</v>
      </c>
      <c r="F2672" s="1" t="str">
        <f t="shared" si="385"/>
        <v>Центр надання адміністративних послуг Рогатинської міської ради</v>
      </c>
      <c r="G2672" s="1" t="str">
        <f t="shared" si="382"/>
        <v>Фізична особа</v>
      </c>
      <c r="H2672" s="1" t="s">
        <v>20</v>
      </c>
      <c r="I2672" s="1" t="s">
        <v>20</v>
      </c>
      <c r="J2672" s="1" t="str">
        <f t="shared" si="386"/>
        <v>Закрито</v>
      </c>
      <c r="K2672" s="5">
        <v>45621</v>
      </c>
      <c r="L2672" s="1" t="s">
        <v>20</v>
      </c>
      <c r="M2672" s="1" t="s">
        <v>22</v>
      </c>
      <c r="N2672" s="5">
        <v>45621</v>
      </c>
    </row>
    <row r="2673" spans="1:14" x14ac:dyDescent="0.3">
      <c r="A2673" s="1" t="str">
        <f>"28_662-11/2024/Ч"</f>
        <v>28_662-11/2024/Ч</v>
      </c>
      <c r="B2673" s="6">
        <v>45621</v>
      </c>
      <c r="C2673" s="1" t="str">
        <f>"00038"</f>
        <v>00038</v>
      </c>
      <c r="D267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673" s="1" t="s">
        <v>20</v>
      </c>
      <c r="F2673" s="1" t="str">
        <f t="shared" si="385"/>
        <v>Центр надання адміністративних послуг Рогатинської міської ради</v>
      </c>
      <c r="G2673" s="1" t="str">
        <f t="shared" si="382"/>
        <v>Фізична особа</v>
      </c>
      <c r="H2673" s="1" t="s">
        <v>20</v>
      </c>
      <c r="I2673" s="1" t="s">
        <v>20</v>
      </c>
      <c r="J2673" s="1" t="str">
        <f t="shared" si="386"/>
        <v>Закрито</v>
      </c>
      <c r="K2673" s="5">
        <v>45621</v>
      </c>
      <c r="L2673" s="1" t="s">
        <v>20</v>
      </c>
      <c r="M2673" s="1" t="s">
        <v>22</v>
      </c>
      <c r="N2673" s="5">
        <v>45621</v>
      </c>
    </row>
    <row r="2674" spans="1:14" x14ac:dyDescent="0.3">
      <c r="A2674" s="1" t="str">
        <f>"1_6036/2129-11/2024/А"</f>
        <v>1_6036/2129-11/2024/А</v>
      </c>
      <c r="B2674" s="6">
        <v>45621</v>
      </c>
      <c r="C2674" s="1" t="str">
        <f>"00038"</f>
        <v>00038</v>
      </c>
      <c r="D267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674" s="1" t="s">
        <v>20</v>
      </c>
      <c r="F2674" s="1" t="str">
        <f t="shared" si="385"/>
        <v>Центр надання адміністративних послуг Рогатинської міської ради</v>
      </c>
      <c r="G2674" s="1" t="str">
        <f t="shared" si="382"/>
        <v>Фізична особа</v>
      </c>
      <c r="H2674" s="1" t="s">
        <v>20</v>
      </c>
      <c r="I2674" s="1" t="s">
        <v>20</v>
      </c>
      <c r="J2674" s="1" t="str">
        <f t="shared" si="386"/>
        <v>Закрито</v>
      </c>
      <c r="K2674" s="5">
        <v>45621</v>
      </c>
      <c r="L2674" s="1" t="s">
        <v>20</v>
      </c>
      <c r="M2674" s="1" t="s">
        <v>22</v>
      </c>
      <c r="N2674" s="5">
        <v>45621</v>
      </c>
    </row>
    <row r="2675" spans="1:14" x14ac:dyDescent="0.3">
      <c r="A2675" s="1" t="str">
        <f>"35_520-11/2024/С"</f>
        <v>35_520-11/2024/С</v>
      </c>
      <c r="B2675" s="6">
        <v>45621</v>
      </c>
      <c r="C2675" s="1" t="str">
        <f>"33"</f>
        <v>33</v>
      </c>
      <c r="D2675" s="2" t="str">
        <f>"33 Довідки різного характеру"</f>
        <v>33 Довідки різного характеру</v>
      </c>
      <c r="E2675" s="1" t="s">
        <v>20</v>
      </c>
      <c r="F2675" s="1" t="str">
        <f t="shared" si="385"/>
        <v>Центр надання адміністративних послуг Рогатинської міської ради</v>
      </c>
      <c r="G2675" s="1" t="str">
        <f t="shared" si="382"/>
        <v>Фізична особа</v>
      </c>
      <c r="H2675" s="1" t="s">
        <v>20</v>
      </c>
      <c r="I2675" s="1" t="s">
        <v>20</v>
      </c>
      <c r="J2675" s="1" t="str">
        <f t="shared" si="386"/>
        <v>Закрито</v>
      </c>
      <c r="K2675" s="5">
        <v>45621</v>
      </c>
      <c r="L2675" s="1" t="s">
        <v>20</v>
      </c>
      <c r="M2675" s="1" t="s">
        <v>22</v>
      </c>
      <c r="N2675" s="5">
        <v>45621</v>
      </c>
    </row>
    <row r="2676" spans="1:14" x14ac:dyDescent="0.3">
      <c r="A2676" s="1" t="str">
        <f>"28_663-11/2024/Г"</f>
        <v>28_663-11/2024/Г</v>
      </c>
      <c r="B2676" s="6">
        <v>45621</v>
      </c>
      <c r="C2676" s="1" t="str">
        <f>"00038"</f>
        <v>00038</v>
      </c>
      <c r="D267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676" s="1" t="s">
        <v>20</v>
      </c>
      <c r="F2676" s="1" t="str">
        <f t="shared" si="385"/>
        <v>Центр надання адміністративних послуг Рогатинської міської ради</v>
      </c>
      <c r="G2676" s="1" t="str">
        <f t="shared" si="382"/>
        <v>Фізична особа</v>
      </c>
      <c r="H2676" s="1" t="s">
        <v>20</v>
      </c>
      <c r="I2676" s="1" t="s">
        <v>20</v>
      </c>
      <c r="J2676" s="1" t="str">
        <f t="shared" si="386"/>
        <v>Закрито</v>
      </c>
      <c r="K2676" s="5">
        <v>45621</v>
      </c>
      <c r="L2676" s="1" t="s">
        <v>20</v>
      </c>
      <c r="M2676" s="1" t="s">
        <v>22</v>
      </c>
      <c r="N2676" s="5">
        <v>45621</v>
      </c>
    </row>
    <row r="2677" spans="1:14" x14ac:dyDescent="0.3">
      <c r="A2677" s="1" t="str">
        <f>"4_1020-11/2024/С"</f>
        <v>4_1020-11/2024/С</v>
      </c>
      <c r="B2677" s="6">
        <v>45621</v>
      </c>
      <c r="C2677" s="1" t="str">
        <f>"33"</f>
        <v>33</v>
      </c>
      <c r="D2677" s="2" t="str">
        <f>"33 Довідки різного характеру"</f>
        <v>33 Довідки різного характеру</v>
      </c>
      <c r="E2677" s="1" t="s">
        <v>20</v>
      </c>
      <c r="F2677" s="1" t="str">
        <f t="shared" si="385"/>
        <v>Центр надання адміністративних послуг Рогатинської міської ради</v>
      </c>
      <c r="G2677" s="1" t="str">
        <f t="shared" ref="G2677:G2708" si="387">"Фізична особа"</f>
        <v>Фізична особа</v>
      </c>
      <c r="H2677" s="1" t="s">
        <v>20</v>
      </c>
      <c r="I2677" s="1" t="s">
        <v>20</v>
      </c>
      <c r="J2677" s="1" t="str">
        <f t="shared" si="386"/>
        <v>Закрито</v>
      </c>
      <c r="K2677" s="5">
        <v>45621</v>
      </c>
      <c r="L2677" s="1" t="s">
        <v>20</v>
      </c>
      <c r="M2677" s="1" t="s">
        <v>22</v>
      </c>
      <c r="N2677" s="5">
        <v>45621</v>
      </c>
    </row>
    <row r="2678" spans="1:14" x14ac:dyDescent="0.3">
      <c r="A2678" s="1" t="str">
        <f>"4_1021-11/2024/О"</f>
        <v>4_1021-11/2024/О</v>
      </c>
      <c r="B2678" s="6">
        <v>45621</v>
      </c>
      <c r="C2678" s="1" t="str">
        <f>"00096"</f>
        <v>00096</v>
      </c>
      <c r="D2678" s="2" t="str">
        <f>"Призначення державної соціальної допомоги особам, які не мають права на пенсію, та особам з інвалідністю"</f>
        <v>Призначення державної соціальної допомоги особам, які не мають права на пенсію, та особам з інвалідністю</v>
      </c>
      <c r="E2678" s="1" t="str">
        <f>"03193413"</f>
        <v>03193413</v>
      </c>
      <c r="F267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78" s="1" t="str">
        <f t="shared" si="387"/>
        <v>Фізична особа</v>
      </c>
      <c r="H2678" s="1" t="s">
        <v>20</v>
      </c>
      <c r="I2678" s="1" t="s">
        <v>20</v>
      </c>
      <c r="J2678" s="1" t="str">
        <f t="shared" si="386"/>
        <v>Закрито</v>
      </c>
      <c r="K2678" s="1" t="s">
        <v>20</v>
      </c>
      <c r="L2678" s="1" t="s">
        <v>20</v>
      </c>
      <c r="M2678" s="1" t="s">
        <v>22</v>
      </c>
      <c r="N2678" s="1" t="s">
        <v>20</v>
      </c>
    </row>
    <row r="2679" spans="1:14" x14ac:dyDescent="0.3">
      <c r="A2679" s="1" t="str">
        <f>"34_395-11/2024/Г"</f>
        <v>34_395-11/2024/Г</v>
      </c>
      <c r="B2679" s="6">
        <v>45621</v>
      </c>
      <c r="C2679" s="1" t="str">
        <f>"00064"</f>
        <v>00064</v>
      </c>
      <c r="D2679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679" s="1" t="s">
        <v>20</v>
      </c>
      <c r="F2679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679" s="1" t="str">
        <f t="shared" si="387"/>
        <v>Фізична особа</v>
      </c>
      <c r="H2679" s="1" t="s">
        <v>20</v>
      </c>
      <c r="I2679" s="1" t="s">
        <v>20</v>
      </c>
      <c r="J2679" s="1" t="str">
        <f t="shared" si="386"/>
        <v>Закрито</v>
      </c>
      <c r="K2679" s="5">
        <v>45621</v>
      </c>
      <c r="L2679" s="1" t="s">
        <v>20</v>
      </c>
      <c r="M2679" s="1" t="s">
        <v>22</v>
      </c>
      <c r="N2679" s="5">
        <v>45621</v>
      </c>
    </row>
    <row r="2680" spans="1:14" x14ac:dyDescent="0.3">
      <c r="A2680" s="1" t="str">
        <f>"34_396-11/2024/Г"</f>
        <v>34_396-11/2024/Г</v>
      </c>
      <c r="B2680" s="6">
        <v>45621</v>
      </c>
      <c r="C2680" s="1" t="str">
        <f>"00155"</f>
        <v>00155</v>
      </c>
      <c r="D2680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80" s="1" t="str">
        <f>"03193413"</f>
        <v>03193413</v>
      </c>
      <c r="F268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80" s="1" t="str">
        <f t="shared" si="387"/>
        <v>Фізична особа</v>
      </c>
      <c r="H2680" s="1" t="s">
        <v>20</v>
      </c>
      <c r="I2680" s="1" t="s">
        <v>20</v>
      </c>
      <c r="J2680" s="1" t="str">
        <f t="shared" si="386"/>
        <v>Закрито</v>
      </c>
      <c r="K2680" s="5">
        <v>45656</v>
      </c>
      <c r="L2680" s="1" t="s">
        <v>20</v>
      </c>
      <c r="M2680" s="1" t="s">
        <v>22</v>
      </c>
      <c r="N2680" s="5">
        <v>45657</v>
      </c>
    </row>
    <row r="2681" spans="1:14" x14ac:dyDescent="0.3">
      <c r="A2681" s="1" t="str">
        <f>"4_1022-11/2024/К"</f>
        <v>4_1022-11/2024/К</v>
      </c>
      <c r="B2681" s="6">
        <v>45621</v>
      </c>
      <c r="C2681" s="1" t="str">
        <f>"00155"</f>
        <v>00155</v>
      </c>
      <c r="D2681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81" s="1" t="str">
        <f>"03193413"</f>
        <v>03193413</v>
      </c>
      <c r="F268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81" s="1" t="str">
        <f t="shared" si="387"/>
        <v>Фізична особа</v>
      </c>
      <c r="H2681" s="1" t="s">
        <v>20</v>
      </c>
      <c r="I2681" s="1" t="s">
        <v>20</v>
      </c>
      <c r="J2681" s="1" t="str">
        <f>"Заявника сповіщено про результат"</f>
        <v>Заявника сповіщено про результат</v>
      </c>
      <c r="K2681" s="5">
        <v>45631</v>
      </c>
      <c r="L2681" s="1" t="s">
        <v>20</v>
      </c>
      <c r="M2681" s="1" t="s">
        <v>22</v>
      </c>
      <c r="N2681" s="5">
        <v>45639</v>
      </c>
    </row>
    <row r="2682" spans="1:14" x14ac:dyDescent="0.3">
      <c r="A2682" s="1" t="str">
        <f>"4_1023-11/2024/К"</f>
        <v>4_1023-11/2024/К</v>
      </c>
      <c r="B2682" s="6">
        <v>45621</v>
      </c>
      <c r="C2682" s="1" t="str">
        <f>"33"</f>
        <v>33</v>
      </c>
      <c r="D2682" s="2" t="str">
        <f>"33 Довідки різного характеру"</f>
        <v>33 Довідки різного характеру</v>
      </c>
      <c r="E2682" s="1" t="s">
        <v>20</v>
      </c>
      <c r="F268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82" s="1" t="str">
        <f t="shared" si="387"/>
        <v>Фізична особа</v>
      </c>
      <c r="H2682" s="1" t="s">
        <v>20</v>
      </c>
      <c r="I2682" s="1" t="s">
        <v>20</v>
      </c>
      <c r="J2682" s="1" t="str">
        <f t="shared" ref="J2682:J2691" si="388">"Закрито"</f>
        <v>Закрито</v>
      </c>
      <c r="K2682" s="5">
        <v>45621</v>
      </c>
      <c r="L2682" s="1" t="s">
        <v>20</v>
      </c>
      <c r="M2682" s="1" t="s">
        <v>22</v>
      </c>
      <c r="N2682" s="5">
        <v>45621</v>
      </c>
    </row>
    <row r="2683" spans="1:14" x14ac:dyDescent="0.3">
      <c r="A2683" s="1" t="str">
        <f>"3_878-11/2024/Л"</f>
        <v>3_878-11/2024/Л</v>
      </c>
      <c r="B2683" s="6">
        <v>45621</v>
      </c>
      <c r="C2683" s="1" t="str">
        <f>"00960"</f>
        <v>00960</v>
      </c>
      <c r="D2683" s="2" t="str">
        <f>"Призначення державної допомоги на дітей, які виховуються у багатодітних сім’ях"</f>
        <v>Призначення державної допомоги на дітей, які виховуються у багатодітних сім’ях</v>
      </c>
      <c r="E2683" s="1" t="str">
        <f>"03193413"</f>
        <v>03193413</v>
      </c>
      <c r="F268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83" s="1" t="str">
        <f t="shared" si="387"/>
        <v>Фізична особа</v>
      </c>
      <c r="H2683" s="1" t="s">
        <v>20</v>
      </c>
      <c r="I2683" s="1" t="s">
        <v>20</v>
      </c>
      <c r="J2683" s="1" t="str">
        <f t="shared" si="388"/>
        <v>Закрито</v>
      </c>
      <c r="K2683" s="5">
        <v>45632</v>
      </c>
      <c r="L2683" s="1" t="s">
        <v>20</v>
      </c>
      <c r="M2683" s="1" t="s">
        <v>22</v>
      </c>
      <c r="N2683" s="5">
        <v>45633</v>
      </c>
    </row>
    <row r="2684" spans="1:14" x14ac:dyDescent="0.3">
      <c r="A2684" s="1" t="str">
        <f>"4_1024-11/2024/П"</f>
        <v>4_1024-11/2024/П</v>
      </c>
      <c r="B2684" s="6">
        <v>45621</v>
      </c>
      <c r="C2684" s="1" t="str">
        <f>"33"</f>
        <v>33</v>
      </c>
      <c r="D2684" s="2" t="str">
        <f>"33 Довідки різного характеру"</f>
        <v>33 Довідки різного характеру</v>
      </c>
      <c r="E2684" s="1" t="s">
        <v>20</v>
      </c>
      <c r="F268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84" s="1" t="str">
        <f t="shared" si="387"/>
        <v>Фізична особа</v>
      </c>
      <c r="H2684" s="1" t="s">
        <v>20</v>
      </c>
      <c r="I2684" s="1" t="s">
        <v>20</v>
      </c>
      <c r="J2684" s="1" t="str">
        <f t="shared" si="388"/>
        <v>Закрито</v>
      </c>
      <c r="K2684" s="5">
        <v>45621</v>
      </c>
      <c r="L2684" s="1" t="s">
        <v>20</v>
      </c>
      <c r="M2684" s="1" t="s">
        <v>22</v>
      </c>
      <c r="N2684" s="5">
        <v>45621</v>
      </c>
    </row>
    <row r="2685" spans="1:14" x14ac:dyDescent="0.3">
      <c r="A2685" s="1" t="str">
        <f>"4_1301/03193413-11/2024/С"</f>
        <v>4_1301/03193413-11/2024/С</v>
      </c>
      <c r="B2685" s="6">
        <v>45621</v>
      </c>
      <c r="C2685" s="1" t="str">
        <f>"01194"</f>
        <v>01194</v>
      </c>
      <c r="D2685" s="2" t="str">
        <f>"Видача дубліката посвідчення батьків багатодітної сім’ї та дитини з багатодітної сім'ї"</f>
        <v>Видача дубліката посвідчення батьків багатодітної сім’ї та дитини з багатодітної сім'ї</v>
      </c>
      <c r="E2685" s="1" t="str">
        <f>"03193413"</f>
        <v>03193413</v>
      </c>
      <c r="F268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85" s="1" t="str">
        <f t="shared" si="387"/>
        <v>Фізична особа</v>
      </c>
      <c r="H2685" s="1" t="s">
        <v>20</v>
      </c>
      <c r="I2685" s="1" t="s">
        <v>20</v>
      </c>
      <c r="J2685" s="1" t="str">
        <f t="shared" si="388"/>
        <v>Закрито</v>
      </c>
      <c r="K2685" s="5">
        <v>45636</v>
      </c>
      <c r="L2685" s="1" t="s">
        <v>20</v>
      </c>
      <c r="M2685" s="1" t="s">
        <v>22</v>
      </c>
      <c r="N2685" s="5">
        <v>45636</v>
      </c>
    </row>
    <row r="2686" spans="1:14" x14ac:dyDescent="0.3">
      <c r="A2686" s="1" t="str">
        <f>"1_6037/2129-11/2024/З"</f>
        <v>1_6037/2129-11/2024/З</v>
      </c>
      <c r="B2686" s="6">
        <v>45621</v>
      </c>
      <c r="C2686" s="1" t="str">
        <f>"00038"</f>
        <v>00038</v>
      </c>
      <c r="D268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686" s="1" t="s">
        <v>20</v>
      </c>
      <c r="F268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86" s="1" t="str">
        <f t="shared" si="387"/>
        <v>Фізична особа</v>
      </c>
      <c r="H2686" s="1" t="s">
        <v>20</v>
      </c>
      <c r="I2686" s="1" t="s">
        <v>20</v>
      </c>
      <c r="J2686" s="1" t="str">
        <f t="shared" si="388"/>
        <v>Закрито</v>
      </c>
      <c r="K2686" s="5">
        <v>45621</v>
      </c>
      <c r="L2686" s="1" t="s">
        <v>20</v>
      </c>
      <c r="M2686" s="1" t="s">
        <v>22</v>
      </c>
      <c r="N2686" s="5">
        <v>45621</v>
      </c>
    </row>
    <row r="2687" spans="1:14" x14ac:dyDescent="0.3">
      <c r="A2687" s="1" t="str">
        <f>"19_532-11/2024/Б"</f>
        <v>19_532-11/2024/Б</v>
      </c>
      <c r="B2687" s="6">
        <v>45621</v>
      </c>
      <c r="C2687" s="1" t="str">
        <f>"33"</f>
        <v>33</v>
      </c>
      <c r="D2687" s="2" t="str">
        <f>"33 Довідки різного характеру"</f>
        <v>33 Довідки різного характеру</v>
      </c>
      <c r="E2687" s="1" t="s">
        <v>20</v>
      </c>
      <c r="F268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87" s="1" t="str">
        <f t="shared" si="387"/>
        <v>Фізична особа</v>
      </c>
      <c r="H2687" s="1" t="s">
        <v>20</v>
      </c>
      <c r="I2687" s="1" t="s">
        <v>20</v>
      </c>
      <c r="J2687" s="1" t="str">
        <f t="shared" si="388"/>
        <v>Закрито</v>
      </c>
      <c r="K2687" s="5">
        <v>45621</v>
      </c>
      <c r="L2687" s="1" t="s">
        <v>20</v>
      </c>
      <c r="M2687" s="1" t="s">
        <v>22</v>
      </c>
      <c r="N2687" s="5">
        <v>45621</v>
      </c>
    </row>
    <row r="2688" spans="1:14" x14ac:dyDescent="0.3">
      <c r="A2688" s="1" t="str">
        <f>"19_533-11/2024/Б"</f>
        <v>19_533-11/2024/Б</v>
      </c>
      <c r="B2688" s="6">
        <v>45621</v>
      </c>
      <c r="C2688" s="1" t="str">
        <f>"00155"</f>
        <v>00155</v>
      </c>
      <c r="D2688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88" s="1" t="str">
        <f>"03193413"</f>
        <v>03193413</v>
      </c>
      <c r="F268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88" s="1" t="str">
        <f t="shared" si="387"/>
        <v>Фізична особа</v>
      </c>
      <c r="H2688" s="1" t="s">
        <v>20</v>
      </c>
      <c r="I2688" s="1" t="s">
        <v>20</v>
      </c>
      <c r="J2688" s="1" t="str">
        <f t="shared" si="388"/>
        <v>Закрито</v>
      </c>
      <c r="K2688" s="5">
        <v>45646</v>
      </c>
      <c r="L2688" s="1" t="s">
        <v>20</v>
      </c>
      <c r="M2688" s="1" t="s">
        <v>22</v>
      </c>
      <c r="N2688" s="5">
        <v>45646</v>
      </c>
    </row>
    <row r="2689" spans="1:14" x14ac:dyDescent="0.3">
      <c r="A2689" s="1" t="str">
        <f>"8_86/2129-11/2024/Г"</f>
        <v>8_86/2129-11/2024/Г</v>
      </c>
      <c r="B2689" s="6">
        <v>45621</v>
      </c>
      <c r="C2689" s="1" t="str">
        <f>"00033"</f>
        <v>00033</v>
      </c>
      <c r="D2689" s="2" t="str">
        <f>"Державна реєстрація смерті"</f>
        <v>Державна реєстрація смерті</v>
      </c>
      <c r="E2689" s="1" t="s">
        <v>20</v>
      </c>
      <c r="F268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89" s="1" t="str">
        <f t="shared" si="387"/>
        <v>Фізична особа</v>
      </c>
      <c r="H2689" s="1" t="s">
        <v>20</v>
      </c>
      <c r="I2689" s="1" t="s">
        <v>20</v>
      </c>
      <c r="J2689" s="1" t="str">
        <f t="shared" si="388"/>
        <v>Закрито</v>
      </c>
      <c r="K2689" s="5">
        <v>45621</v>
      </c>
      <c r="L2689" s="1" t="s">
        <v>20</v>
      </c>
      <c r="M2689" s="1" t="s">
        <v>22</v>
      </c>
      <c r="N2689" s="5">
        <v>45621</v>
      </c>
    </row>
    <row r="2690" spans="1:14" x14ac:dyDescent="0.3">
      <c r="A2690" s="1" t="str">
        <f>"1_6038/2129-11/2024/Г"</f>
        <v>1_6038/2129-11/2024/Г</v>
      </c>
      <c r="B2690" s="6">
        <v>45621</v>
      </c>
      <c r="C2690" s="1" t="str">
        <f>"00037"</f>
        <v>00037</v>
      </c>
      <c r="D2690" s="2" t="str">
        <f>"Зняття з реєстрації місця проживання"</f>
        <v>Зняття з реєстрації місця проживання</v>
      </c>
      <c r="E2690" s="1" t="s">
        <v>20</v>
      </c>
      <c r="F269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90" s="1" t="str">
        <f t="shared" si="387"/>
        <v>Фізична особа</v>
      </c>
      <c r="H2690" s="1" t="s">
        <v>20</v>
      </c>
      <c r="I2690" s="1" t="s">
        <v>20</v>
      </c>
      <c r="J2690" s="1" t="str">
        <f t="shared" si="388"/>
        <v>Закрито</v>
      </c>
      <c r="K2690" s="5">
        <v>45621</v>
      </c>
      <c r="L2690" s="1" t="s">
        <v>20</v>
      </c>
      <c r="M2690" s="1" t="s">
        <v>22</v>
      </c>
      <c r="N2690" s="5">
        <v>45621</v>
      </c>
    </row>
    <row r="2691" spans="1:14" x14ac:dyDescent="0.3">
      <c r="A2691" s="1" t="str">
        <f>"7_264/2129-11/2024/А"</f>
        <v>7_264/2129-11/2024/А</v>
      </c>
      <c r="B2691" s="6">
        <v>45621</v>
      </c>
      <c r="C2691" s="1" t="str">
        <f>"33"</f>
        <v>33</v>
      </c>
      <c r="D2691" s="2" t="str">
        <f>"33 Довідки різного характеру"</f>
        <v>33 Довідки різного характеру</v>
      </c>
      <c r="E2691" s="1" t="s">
        <v>20</v>
      </c>
      <c r="F269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91" s="1" t="str">
        <f t="shared" si="387"/>
        <v>Фізична особа</v>
      </c>
      <c r="H2691" s="1" t="s">
        <v>20</v>
      </c>
      <c r="I2691" s="1" t="s">
        <v>20</v>
      </c>
      <c r="J2691" s="1" t="str">
        <f t="shared" si="388"/>
        <v>Закрито</v>
      </c>
      <c r="K2691" s="5">
        <v>45621</v>
      </c>
      <c r="L2691" s="1" t="s">
        <v>20</v>
      </c>
      <c r="M2691" s="1" t="s">
        <v>22</v>
      </c>
      <c r="N2691" s="5">
        <v>45621</v>
      </c>
    </row>
    <row r="2692" spans="1:14" x14ac:dyDescent="0.3">
      <c r="A2692" s="1" t="str">
        <f>"28_664-11/2024/Б"</f>
        <v>28_664-11/2024/Б</v>
      </c>
      <c r="B2692" s="6">
        <v>45621</v>
      </c>
      <c r="C2692" s="1" t="str">
        <f>"00155"</f>
        <v>00155</v>
      </c>
      <c r="D2692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92" s="1" t="str">
        <f>"03193413"</f>
        <v>03193413</v>
      </c>
      <c r="F269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92" s="1" t="str">
        <f t="shared" si="387"/>
        <v>Фізична особа</v>
      </c>
      <c r="H2692" s="1" t="s">
        <v>20</v>
      </c>
      <c r="I2692" s="1" t="s">
        <v>20</v>
      </c>
      <c r="J2692" s="1" t="str">
        <f>"На обробці в СНАП"</f>
        <v>На обробці в СНАП</v>
      </c>
      <c r="K2692" s="1" t="s">
        <v>20</v>
      </c>
      <c r="L2692" s="1" t="s">
        <v>20</v>
      </c>
      <c r="M2692" s="1" t="s">
        <v>22</v>
      </c>
      <c r="N2692" s="1" t="s">
        <v>20</v>
      </c>
    </row>
    <row r="2693" spans="1:14" x14ac:dyDescent="0.3">
      <c r="A2693" s="1" t="str">
        <f>"9_572-11/2024/В"</f>
        <v>9_572-11/2024/В</v>
      </c>
      <c r="B2693" s="6">
        <v>45621</v>
      </c>
      <c r="C2693" s="1" t="str">
        <f>"00064"</f>
        <v>00064</v>
      </c>
      <c r="D2693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693" s="1" t="s">
        <v>20</v>
      </c>
      <c r="F2693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693" s="1" t="str">
        <f t="shared" si="387"/>
        <v>Фізична особа</v>
      </c>
      <c r="H2693" s="1" t="s">
        <v>20</v>
      </c>
      <c r="I2693" s="1" t="s">
        <v>20</v>
      </c>
      <c r="J2693" s="1" t="str">
        <f t="shared" ref="J2693:J2698" si="389">"Закрито"</f>
        <v>Закрито</v>
      </c>
      <c r="K2693" s="5">
        <v>45621</v>
      </c>
      <c r="L2693" s="1" t="s">
        <v>20</v>
      </c>
      <c r="M2693" s="1" t="s">
        <v>22</v>
      </c>
      <c r="N2693" s="5">
        <v>45621</v>
      </c>
    </row>
    <row r="2694" spans="1:14" x14ac:dyDescent="0.3">
      <c r="A2694" s="1" t="str">
        <f>"9_573-11/2024/В"</f>
        <v>9_573-11/2024/В</v>
      </c>
      <c r="B2694" s="6">
        <v>45621</v>
      </c>
      <c r="C2694" s="1" t="str">
        <f>"33"</f>
        <v>33</v>
      </c>
      <c r="D2694" s="2" t="str">
        <f>"33 Довідки різного характеру"</f>
        <v>33 Довідки різного характеру</v>
      </c>
      <c r="E2694" s="1" t="s">
        <v>20</v>
      </c>
      <c r="F26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94" s="1" t="str">
        <f t="shared" si="387"/>
        <v>Фізична особа</v>
      </c>
      <c r="H2694" s="1" t="s">
        <v>20</v>
      </c>
      <c r="I2694" s="1" t="s">
        <v>20</v>
      </c>
      <c r="J2694" s="1" t="str">
        <f t="shared" si="389"/>
        <v>Закрито</v>
      </c>
      <c r="K2694" s="5">
        <v>45621</v>
      </c>
      <c r="L2694" s="1" t="s">
        <v>20</v>
      </c>
      <c r="M2694" s="1" t="s">
        <v>22</v>
      </c>
      <c r="N2694" s="5">
        <v>45621</v>
      </c>
    </row>
    <row r="2695" spans="1:14" x14ac:dyDescent="0.3">
      <c r="A2695" s="1" t="str">
        <f>"1_6039/2129-11/2024/А"</f>
        <v>1_6039/2129-11/2024/А</v>
      </c>
      <c r="B2695" s="6">
        <v>45621</v>
      </c>
      <c r="C2695" s="1" t="str">
        <f>"00034"</f>
        <v>00034</v>
      </c>
      <c r="D2695" s="2" t="str">
        <f>"Реєстрація місця проживання"</f>
        <v>Реєстрація місця проживання</v>
      </c>
      <c r="E2695" s="1" t="s">
        <v>20</v>
      </c>
      <c r="F269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95" s="1" t="str">
        <f t="shared" si="387"/>
        <v>Фізична особа</v>
      </c>
      <c r="H2695" s="1" t="s">
        <v>20</v>
      </c>
      <c r="I2695" s="1" t="s">
        <v>20</v>
      </c>
      <c r="J2695" s="1" t="str">
        <f t="shared" si="389"/>
        <v>Закрито</v>
      </c>
      <c r="K2695" s="5">
        <v>45621</v>
      </c>
      <c r="L2695" s="1" t="str">
        <f>"45.0"</f>
        <v>45.0</v>
      </c>
      <c r="M2695" s="1" t="s">
        <v>22</v>
      </c>
      <c r="N2695" s="5">
        <v>45621</v>
      </c>
    </row>
    <row r="2696" spans="1:14" x14ac:dyDescent="0.3">
      <c r="A2696" s="1" t="str">
        <f>"33_424-11/2024/К"</f>
        <v>33_424-11/2024/К</v>
      </c>
      <c r="B2696" s="6">
        <v>45621</v>
      </c>
      <c r="C2696" s="1" t="str">
        <f>"01841"</f>
        <v>01841</v>
      </c>
      <c r="D2696" s="2" t="str">
        <f>"Видача довідки про реєстрацію та проживання особи станом на 15.04.1991 року"</f>
        <v>Видача довідки про реєстрацію та проживання особи станом на 15.04.1991 року</v>
      </c>
      <c r="E2696" s="1" t="s">
        <v>20</v>
      </c>
      <c r="F269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96" s="1" t="str">
        <f t="shared" si="387"/>
        <v>Фізична особа</v>
      </c>
      <c r="H2696" s="1" t="s">
        <v>20</v>
      </c>
      <c r="I2696" s="1" t="s">
        <v>20</v>
      </c>
      <c r="J2696" s="1" t="str">
        <f t="shared" si="389"/>
        <v>Закрито</v>
      </c>
      <c r="K2696" s="5">
        <v>45621</v>
      </c>
      <c r="L2696" s="1" t="s">
        <v>20</v>
      </c>
      <c r="M2696" s="1" t="s">
        <v>22</v>
      </c>
      <c r="N2696" s="5">
        <v>45621</v>
      </c>
    </row>
    <row r="2697" spans="1:14" x14ac:dyDescent="0.3">
      <c r="A2697" s="1" t="str">
        <f>"1_6040/2129-11/2024/С"</f>
        <v>1_6040/2129-11/2024/С</v>
      </c>
      <c r="B2697" s="6">
        <v>45621</v>
      </c>
      <c r="C2697" s="1" t="str">
        <f>"00037"</f>
        <v>00037</v>
      </c>
      <c r="D2697" s="2" t="str">
        <f>"Зняття з реєстрації місця проживання"</f>
        <v>Зняття з реєстрації місця проживання</v>
      </c>
      <c r="E2697" s="1" t="s">
        <v>20</v>
      </c>
      <c r="F269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97" s="1" t="str">
        <f t="shared" si="387"/>
        <v>Фізична особа</v>
      </c>
      <c r="H2697" s="1" t="s">
        <v>20</v>
      </c>
      <c r="I2697" s="1" t="s">
        <v>20</v>
      </c>
      <c r="J2697" s="1" t="str">
        <f t="shared" si="389"/>
        <v>Закрито</v>
      </c>
      <c r="K2697" s="5">
        <v>45621</v>
      </c>
      <c r="L2697" s="1" t="str">
        <f>"45.0"</f>
        <v>45.0</v>
      </c>
      <c r="M2697" s="1" t="s">
        <v>22</v>
      </c>
      <c r="N2697" s="5">
        <v>45621</v>
      </c>
    </row>
    <row r="2698" spans="1:14" x14ac:dyDescent="0.3">
      <c r="A2698" s="1" t="str">
        <f>"33_425-11/2024/К"</f>
        <v>33_425-11/2024/К</v>
      </c>
      <c r="B2698" s="6">
        <v>45621</v>
      </c>
      <c r="C2698" s="1" t="str">
        <f>"33"</f>
        <v>33</v>
      </c>
      <c r="D2698" s="2" t="str">
        <f>"33 Довідки різного характеру"</f>
        <v>33 Довідки різного характеру</v>
      </c>
      <c r="E2698" s="1" t="s">
        <v>20</v>
      </c>
      <c r="F269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698" s="1" t="str">
        <f t="shared" si="387"/>
        <v>Фізична особа</v>
      </c>
      <c r="H2698" s="1" t="s">
        <v>20</v>
      </c>
      <c r="I2698" s="1" t="s">
        <v>20</v>
      </c>
      <c r="J2698" s="1" t="str">
        <f t="shared" si="389"/>
        <v>Закрито</v>
      </c>
      <c r="K2698" s="5">
        <v>45621</v>
      </c>
      <c r="L2698" s="1" t="s">
        <v>20</v>
      </c>
      <c r="M2698" s="1" t="s">
        <v>22</v>
      </c>
      <c r="N2698" s="5">
        <v>45621</v>
      </c>
    </row>
    <row r="2699" spans="1:14" x14ac:dyDescent="0.3">
      <c r="A2699" s="1" t="str">
        <f>"27_598-11/2024/Ш"</f>
        <v>27_598-11/2024/Ш</v>
      </c>
      <c r="B2699" s="6">
        <v>45621</v>
      </c>
      <c r="C2699" s="1" t="str">
        <f>"00155"</f>
        <v>00155</v>
      </c>
      <c r="D2699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699" s="1" t="str">
        <f>"03193413"</f>
        <v>03193413</v>
      </c>
      <c r="F269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699" s="1" t="str">
        <f t="shared" si="387"/>
        <v>Фізична особа</v>
      </c>
      <c r="H2699" s="1" t="s">
        <v>20</v>
      </c>
      <c r="I2699" s="1" t="s">
        <v>20</v>
      </c>
      <c r="J2699" s="1" t="str">
        <f>"На обробці в СНАП"</f>
        <v>На обробці в СНАП</v>
      </c>
      <c r="K2699" s="1" t="s">
        <v>20</v>
      </c>
      <c r="L2699" s="1" t="s">
        <v>20</v>
      </c>
      <c r="M2699" s="1" t="s">
        <v>22</v>
      </c>
      <c r="N2699" s="1" t="s">
        <v>20</v>
      </c>
    </row>
    <row r="2700" spans="1:14" x14ac:dyDescent="0.3">
      <c r="A2700" s="1" t="str">
        <f>"33_426-11/2024/Ш"</f>
        <v>33_426-11/2024/Ш</v>
      </c>
      <c r="B2700" s="6">
        <v>45621</v>
      </c>
      <c r="C2700" s="1" t="str">
        <f>"00155"</f>
        <v>00155</v>
      </c>
      <c r="D2700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00" s="1" t="str">
        <f>"03193413"</f>
        <v>03193413</v>
      </c>
      <c r="F270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00" s="1" t="str">
        <f t="shared" si="387"/>
        <v>Фізична особа</v>
      </c>
      <c r="H2700" s="1" t="s">
        <v>20</v>
      </c>
      <c r="I2700" s="1" t="s">
        <v>20</v>
      </c>
      <c r="J2700" s="1" t="str">
        <f t="shared" ref="J2700:J2709" si="390">"Закрито"</f>
        <v>Закрито</v>
      </c>
      <c r="K2700" s="1" t="s">
        <v>20</v>
      </c>
      <c r="L2700" s="1" t="s">
        <v>20</v>
      </c>
      <c r="M2700" s="1" t="s">
        <v>22</v>
      </c>
      <c r="N2700" s="1" t="s">
        <v>20</v>
      </c>
    </row>
    <row r="2701" spans="1:14" x14ac:dyDescent="0.3">
      <c r="A2701" s="1" t="str">
        <f>"9_1717/04054323-11/2024/Н"</f>
        <v>9_1717/04054323-11/2024/Н</v>
      </c>
      <c r="B2701" s="6">
        <v>45621</v>
      </c>
      <c r="C2701" s="1" t="str">
        <f>"00199"</f>
        <v>00199</v>
      </c>
      <c r="D2701" s="2" t="str">
        <f>"00199 Видача рішення про надання дозволу на розроблення проекту землеустрою щодо відведення земельної ділянки"</f>
        <v>00199 Видача рішення про надання дозволу на розроблення проекту землеустрою щодо відведення земельної ділянки</v>
      </c>
      <c r="E2701" s="1" t="str">
        <f>"04054323"</f>
        <v>04054323</v>
      </c>
      <c r="F2701" s="1" t="str">
        <f>"Рогатинська міська рада"</f>
        <v>Рогатинська міська рада</v>
      </c>
      <c r="G2701" s="1" t="str">
        <f t="shared" si="387"/>
        <v>Фізична особа</v>
      </c>
      <c r="H2701" s="1" t="s">
        <v>20</v>
      </c>
      <c r="I2701" s="1" t="s">
        <v>20</v>
      </c>
      <c r="J2701" s="1" t="str">
        <f t="shared" si="390"/>
        <v>Закрито</v>
      </c>
      <c r="K2701" s="5">
        <v>45636</v>
      </c>
      <c r="L2701" s="1" t="s">
        <v>20</v>
      </c>
      <c r="M2701" s="1" t="s">
        <v>22</v>
      </c>
      <c r="N2701" s="5">
        <v>45636</v>
      </c>
    </row>
    <row r="2702" spans="1:14" x14ac:dyDescent="0.3">
      <c r="A2702" s="1" t="str">
        <f>"3_879-11/2024/К"</f>
        <v>3_879-11/2024/К</v>
      </c>
      <c r="B2702" s="6">
        <v>45621</v>
      </c>
      <c r="C2702" s="1" t="str">
        <f>"00133"</f>
        <v>00133</v>
      </c>
      <c r="D2702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702" s="1" t="str">
        <f>"03193413"</f>
        <v>03193413</v>
      </c>
      <c r="F270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02" s="1" t="str">
        <f t="shared" si="387"/>
        <v>Фізична особа</v>
      </c>
      <c r="H2702" s="1" t="s">
        <v>20</v>
      </c>
      <c r="I2702" s="1" t="s">
        <v>20</v>
      </c>
      <c r="J2702" s="1" t="str">
        <f t="shared" si="390"/>
        <v>Закрито</v>
      </c>
      <c r="K2702" s="5">
        <v>45632</v>
      </c>
      <c r="L2702" s="1" t="s">
        <v>20</v>
      </c>
      <c r="M2702" s="1" t="s">
        <v>22</v>
      </c>
      <c r="N2702" s="5">
        <v>45634</v>
      </c>
    </row>
    <row r="2703" spans="1:14" x14ac:dyDescent="0.3">
      <c r="A2703" s="1" t="str">
        <f>"34_397-11/2024/Б"</f>
        <v>34_397-11/2024/Б</v>
      </c>
      <c r="B2703" s="6">
        <v>45621</v>
      </c>
      <c r="C2703" s="1" t="str">
        <f>"00064"</f>
        <v>00064</v>
      </c>
      <c r="D2703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703" s="1" t="s">
        <v>20</v>
      </c>
      <c r="F2703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703" s="1" t="str">
        <f t="shared" si="387"/>
        <v>Фізична особа</v>
      </c>
      <c r="H2703" s="1" t="s">
        <v>20</v>
      </c>
      <c r="I2703" s="1" t="s">
        <v>20</v>
      </c>
      <c r="J2703" s="1" t="str">
        <f t="shared" si="390"/>
        <v>Закрито</v>
      </c>
      <c r="K2703" s="5">
        <v>45621</v>
      </c>
      <c r="L2703" s="1" t="s">
        <v>20</v>
      </c>
      <c r="M2703" s="1" t="s">
        <v>22</v>
      </c>
      <c r="N2703" s="5">
        <v>45621</v>
      </c>
    </row>
    <row r="2704" spans="1:14" x14ac:dyDescent="0.3">
      <c r="A2704" s="1" t="str">
        <f>"28_665-11/2024/Б"</f>
        <v>28_665-11/2024/Б</v>
      </c>
      <c r="B2704" s="6">
        <v>45621</v>
      </c>
      <c r="C2704" s="1" t="str">
        <f>"00038"</f>
        <v>00038</v>
      </c>
      <c r="D270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04" s="1" t="s">
        <v>20</v>
      </c>
      <c r="F270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04" s="1" t="str">
        <f t="shared" si="387"/>
        <v>Фізична особа</v>
      </c>
      <c r="H2704" s="1" t="s">
        <v>20</v>
      </c>
      <c r="I2704" s="1" t="s">
        <v>20</v>
      </c>
      <c r="J2704" s="1" t="str">
        <f t="shared" si="390"/>
        <v>Закрито</v>
      </c>
      <c r="K2704" s="5">
        <v>45621</v>
      </c>
      <c r="L2704" s="1" t="s">
        <v>20</v>
      </c>
      <c r="M2704" s="1" t="s">
        <v>22</v>
      </c>
      <c r="N2704" s="5">
        <v>45621</v>
      </c>
    </row>
    <row r="2705" spans="1:14" x14ac:dyDescent="0.3">
      <c r="A2705" s="1" t="str">
        <f>"33_427-11/2024/І"</f>
        <v>33_427-11/2024/І</v>
      </c>
      <c r="B2705" s="6">
        <v>45621</v>
      </c>
      <c r="C2705" s="1" t="str">
        <f>"01974"</f>
        <v>01974</v>
      </c>
      <c r="D2705" s="2" t="str">
        <f>"Призначення пільги на оплату житла, комунальних послуг"</f>
        <v>Призначення пільги на оплату житла, комунальних послуг</v>
      </c>
      <c r="E2705" s="1" t="str">
        <f>"03193413"</f>
        <v>03193413</v>
      </c>
      <c r="F270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05" s="1" t="str">
        <f t="shared" si="387"/>
        <v>Фізична особа</v>
      </c>
      <c r="H2705" s="1" t="s">
        <v>20</v>
      </c>
      <c r="I2705" s="1" t="s">
        <v>20</v>
      </c>
      <c r="J2705" s="1" t="str">
        <f t="shared" si="390"/>
        <v>Закрито</v>
      </c>
      <c r="K2705" s="1" t="s">
        <v>20</v>
      </c>
      <c r="L2705" s="1" t="s">
        <v>20</v>
      </c>
      <c r="M2705" s="1" t="s">
        <v>22</v>
      </c>
      <c r="N2705" s="1" t="s">
        <v>20</v>
      </c>
    </row>
    <row r="2706" spans="1:14" x14ac:dyDescent="0.3">
      <c r="A2706" s="1" t="str">
        <f>"1_740-11/2024/С"</f>
        <v>1_740-11/2024/С</v>
      </c>
      <c r="B2706" s="6">
        <v>45621</v>
      </c>
      <c r="C2706" s="1" t="str">
        <f>"00064"</f>
        <v>00064</v>
      </c>
      <c r="D2706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706" s="1" t="s">
        <v>20</v>
      </c>
      <c r="F2706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706" s="1" t="str">
        <f t="shared" si="387"/>
        <v>Фізична особа</v>
      </c>
      <c r="H2706" s="1" t="s">
        <v>20</v>
      </c>
      <c r="I2706" s="1" t="s">
        <v>20</v>
      </c>
      <c r="J2706" s="1" t="str">
        <f t="shared" si="390"/>
        <v>Закрито</v>
      </c>
      <c r="K2706" s="5">
        <v>45621</v>
      </c>
      <c r="L2706" s="1" t="s">
        <v>20</v>
      </c>
      <c r="M2706" s="1" t="s">
        <v>22</v>
      </c>
      <c r="N2706" s="5">
        <v>45621</v>
      </c>
    </row>
    <row r="2707" spans="1:14" x14ac:dyDescent="0.3">
      <c r="A2707" s="1" t="str">
        <f>"1_741-11/2024/С"</f>
        <v>1_741-11/2024/С</v>
      </c>
      <c r="B2707" s="6">
        <v>45621</v>
      </c>
      <c r="C2707" s="1" t="str">
        <f>"00155"</f>
        <v>00155</v>
      </c>
      <c r="D2707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07" s="1" t="str">
        <f>"03193413"</f>
        <v>03193413</v>
      </c>
      <c r="F270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07" s="1" t="str">
        <f t="shared" si="387"/>
        <v>Фізична особа</v>
      </c>
      <c r="H2707" s="1" t="s">
        <v>20</v>
      </c>
      <c r="I2707" s="1" t="s">
        <v>20</v>
      </c>
      <c r="J2707" s="1" t="str">
        <f t="shared" si="390"/>
        <v>Закрито</v>
      </c>
      <c r="K2707" s="5">
        <v>45653</v>
      </c>
      <c r="L2707" s="1" t="s">
        <v>20</v>
      </c>
      <c r="M2707" s="1" t="s">
        <v>22</v>
      </c>
      <c r="N2707" s="5">
        <v>45653</v>
      </c>
    </row>
    <row r="2708" spans="1:14" x14ac:dyDescent="0.3">
      <c r="A2708" s="1" t="str">
        <f>"1_742-11/2024/Д"</f>
        <v>1_742-11/2024/Д</v>
      </c>
      <c r="B2708" s="6">
        <v>45621</v>
      </c>
      <c r="C2708" s="1" t="str">
        <f>"00038"</f>
        <v>00038</v>
      </c>
      <c r="D270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08" s="1" t="s">
        <v>20</v>
      </c>
      <c r="F270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08" s="1" t="str">
        <f t="shared" si="387"/>
        <v>Фізична особа</v>
      </c>
      <c r="H2708" s="1" t="s">
        <v>20</v>
      </c>
      <c r="I2708" s="1" t="s">
        <v>20</v>
      </c>
      <c r="J2708" s="1" t="str">
        <f t="shared" si="390"/>
        <v>Закрито</v>
      </c>
      <c r="K2708" s="5">
        <v>45621</v>
      </c>
      <c r="L2708" s="1" t="s">
        <v>20</v>
      </c>
      <c r="M2708" s="1" t="s">
        <v>22</v>
      </c>
      <c r="N2708" s="5">
        <v>45621</v>
      </c>
    </row>
    <row r="2709" spans="1:14" x14ac:dyDescent="0.3">
      <c r="A2709" s="1" t="str">
        <f>"4_1025-11/2024/Г"</f>
        <v>4_1025-11/2024/Г</v>
      </c>
      <c r="B2709" s="6">
        <v>45621</v>
      </c>
      <c r="C2709" s="1" t="str">
        <f>"00038"</f>
        <v>00038</v>
      </c>
      <c r="D270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09" s="1" t="s">
        <v>20</v>
      </c>
      <c r="F270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09" s="1" t="str">
        <f t="shared" ref="G2709:G2740" si="391">"Фізична особа"</f>
        <v>Фізична особа</v>
      </c>
      <c r="H2709" s="1" t="s">
        <v>20</v>
      </c>
      <c r="I2709" s="1" t="s">
        <v>20</v>
      </c>
      <c r="J2709" s="1" t="str">
        <f t="shared" si="390"/>
        <v>Закрито</v>
      </c>
      <c r="K2709" s="5">
        <v>45621</v>
      </c>
      <c r="L2709" s="1" t="s">
        <v>20</v>
      </c>
      <c r="M2709" s="1" t="s">
        <v>22</v>
      </c>
      <c r="N2709" s="5">
        <v>45621</v>
      </c>
    </row>
    <row r="2710" spans="1:14" x14ac:dyDescent="0.3">
      <c r="A2710" s="1" t="str">
        <f>"4_1026-11/2024/Г"</f>
        <v>4_1026-11/2024/Г</v>
      </c>
      <c r="B2710" s="6">
        <v>45621</v>
      </c>
      <c r="C2710" s="1" t="str">
        <f>"00155"</f>
        <v>00155</v>
      </c>
      <c r="D2710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10" s="1" t="str">
        <f>"03193413"</f>
        <v>03193413</v>
      </c>
      <c r="F271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10" s="1" t="str">
        <f t="shared" si="391"/>
        <v>Фізична особа</v>
      </c>
      <c r="H2710" s="1" t="s">
        <v>20</v>
      </c>
      <c r="I2710" s="1" t="s">
        <v>20</v>
      </c>
      <c r="J2710" s="1" t="str">
        <f>"Заявника сповіщено про результат"</f>
        <v>Заявника сповіщено про результат</v>
      </c>
      <c r="K2710" s="5">
        <v>45631</v>
      </c>
      <c r="L2710" s="1" t="s">
        <v>20</v>
      </c>
      <c r="M2710" s="1" t="s">
        <v>22</v>
      </c>
      <c r="N2710" s="5">
        <v>45640</v>
      </c>
    </row>
    <row r="2711" spans="1:14" x14ac:dyDescent="0.3">
      <c r="A2711" s="1" t="str">
        <f>"25_443-11/2024/Б"</f>
        <v>25_443-11/2024/Б</v>
      </c>
      <c r="B2711" s="6">
        <v>45621</v>
      </c>
      <c r="C2711" s="1" t="str">
        <f>"00038"</f>
        <v>00038</v>
      </c>
      <c r="D271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11" s="1" t="s">
        <v>20</v>
      </c>
      <c r="F2711" s="1" t="str">
        <f t="shared" ref="F2711:F2716" si="392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11" s="1" t="str">
        <f t="shared" si="391"/>
        <v>Фізична особа</v>
      </c>
      <c r="H2711" s="1" t="s">
        <v>20</v>
      </c>
      <c r="I2711" s="1" t="s">
        <v>20</v>
      </c>
      <c r="J2711" s="1" t="str">
        <f t="shared" ref="J2711:J2716" si="393">"Закрито"</f>
        <v>Закрито</v>
      </c>
      <c r="K2711" s="5">
        <v>45621</v>
      </c>
      <c r="L2711" s="1" t="s">
        <v>20</v>
      </c>
      <c r="M2711" s="1" t="s">
        <v>22</v>
      </c>
      <c r="N2711" s="5">
        <v>45621</v>
      </c>
    </row>
    <row r="2712" spans="1:14" x14ac:dyDescent="0.3">
      <c r="A2712" s="1" t="str">
        <f>"4_1027-11/2024/Я"</f>
        <v>4_1027-11/2024/Я</v>
      </c>
      <c r="B2712" s="6">
        <v>45621</v>
      </c>
      <c r="C2712" s="1" t="str">
        <f>"00038"</f>
        <v>00038</v>
      </c>
      <c r="D271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12" s="1" t="s">
        <v>20</v>
      </c>
      <c r="F2712" s="1" t="str">
        <f t="shared" si="392"/>
        <v>Центр надання адміністративних послуг Рогатинської міської ради</v>
      </c>
      <c r="G2712" s="1" t="str">
        <f t="shared" si="391"/>
        <v>Фізична особа</v>
      </c>
      <c r="H2712" s="1" t="s">
        <v>20</v>
      </c>
      <c r="I2712" s="1" t="s">
        <v>20</v>
      </c>
      <c r="J2712" s="1" t="str">
        <f t="shared" si="393"/>
        <v>Закрито</v>
      </c>
      <c r="K2712" s="5">
        <v>45621</v>
      </c>
      <c r="L2712" s="1" t="s">
        <v>20</v>
      </c>
      <c r="M2712" s="1" t="s">
        <v>22</v>
      </c>
      <c r="N2712" s="5">
        <v>45621</v>
      </c>
    </row>
    <row r="2713" spans="1:14" x14ac:dyDescent="0.3">
      <c r="A2713" s="1" t="str">
        <f>"8_556-11/2024/О"</f>
        <v>8_556-11/2024/О</v>
      </c>
      <c r="B2713" s="6">
        <v>45621</v>
      </c>
      <c r="C2713" s="1" t="str">
        <f>"33"</f>
        <v>33</v>
      </c>
      <c r="D2713" s="2" t="str">
        <f>"33 Довідки різного характеру"</f>
        <v>33 Довідки різного характеру</v>
      </c>
      <c r="E2713" s="1" t="s">
        <v>20</v>
      </c>
      <c r="F2713" s="1" t="str">
        <f t="shared" si="392"/>
        <v>Центр надання адміністративних послуг Рогатинської міської ради</v>
      </c>
      <c r="G2713" s="1" t="str">
        <f t="shared" si="391"/>
        <v>Фізична особа</v>
      </c>
      <c r="H2713" s="1" t="s">
        <v>20</v>
      </c>
      <c r="I2713" s="1" t="s">
        <v>20</v>
      </c>
      <c r="J2713" s="1" t="str">
        <f t="shared" si="393"/>
        <v>Закрито</v>
      </c>
      <c r="K2713" s="5">
        <v>45621</v>
      </c>
      <c r="L2713" s="1" t="s">
        <v>20</v>
      </c>
      <c r="M2713" s="1" t="s">
        <v>22</v>
      </c>
      <c r="N2713" s="5">
        <v>45621</v>
      </c>
    </row>
    <row r="2714" spans="1:14" x14ac:dyDescent="0.3">
      <c r="A2714" s="1" t="str">
        <f>"1_6041/2129-11/2024/Г"</f>
        <v>1_6041/2129-11/2024/Г</v>
      </c>
      <c r="B2714" s="6">
        <v>45622</v>
      </c>
      <c r="C2714" s="1" t="str">
        <f>"00038"</f>
        <v>00038</v>
      </c>
      <c r="D271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14" s="1" t="s">
        <v>20</v>
      </c>
      <c r="F2714" s="1" t="str">
        <f t="shared" si="392"/>
        <v>Центр надання адміністративних послуг Рогатинської міської ради</v>
      </c>
      <c r="G2714" s="1" t="str">
        <f t="shared" si="391"/>
        <v>Фізична особа</v>
      </c>
      <c r="H2714" s="1" t="s">
        <v>20</v>
      </c>
      <c r="I2714" s="1" t="s">
        <v>20</v>
      </c>
      <c r="J2714" s="1" t="str">
        <f t="shared" si="393"/>
        <v>Закрито</v>
      </c>
      <c r="K2714" s="5">
        <v>45622</v>
      </c>
      <c r="L2714" s="1" t="s">
        <v>20</v>
      </c>
      <c r="M2714" s="1" t="s">
        <v>22</v>
      </c>
      <c r="N2714" s="5">
        <v>45622</v>
      </c>
    </row>
    <row r="2715" spans="1:14" x14ac:dyDescent="0.3">
      <c r="A2715" s="1" t="str">
        <f>"1_6042/2129-11/2024/Г"</f>
        <v>1_6042/2129-11/2024/Г</v>
      </c>
      <c r="B2715" s="6">
        <v>45622</v>
      </c>
      <c r="C2715" s="1" t="str">
        <f>"00038"</f>
        <v>00038</v>
      </c>
      <c r="D271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15" s="1" t="s">
        <v>20</v>
      </c>
      <c r="F2715" s="1" t="str">
        <f t="shared" si="392"/>
        <v>Центр надання адміністративних послуг Рогатинської міської ради</v>
      </c>
      <c r="G2715" s="1" t="str">
        <f t="shared" si="391"/>
        <v>Фізична особа</v>
      </c>
      <c r="H2715" s="1" t="s">
        <v>20</v>
      </c>
      <c r="I2715" s="1" t="s">
        <v>20</v>
      </c>
      <c r="J2715" s="1" t="str">
        <f t="shared" si="393"/>
        <v>Закрито</v>
      </c>
      <c r="K2715" s="5">
        <v>45622</v>
      </c>
      <c r="L2715" s="1" t="s">
        <v>20</v>
      </c>
      <c r="M2715" s="1" t="s">
        <v>22</v>
      </c>
      <c r="N2715" s="5">
        <v>45622</v>
      </c>
    </row>
    <row r="2716" spans="1:14" x14ac:dyDescent="0.3">
      <c r="A2716" s="1" t="str">
        <f>"1_6043/2129-11/2024/Г"</f>
        <v>1_6043/2129-11/2024/Г</v>
      </c>
      <c r="B2716" s="6">
        <v>45622</v>
      </c>
      <c r="C2716" s="1" t="str">
        <f>"00038"</f>
        <v>00038</v>
      </c>
      <c r="D271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16" s="1" t="s">
        <v>20</v>
      </c>
      <c r="F2716" s="1" t="str">
        <f t="shared" si="392"/>
        <v>Центр надання адміністративних послуг Рогатинської міської ради</v>
      </c>
      <c r="G2716" s="1" t="str">
        <f t="shared" si="391"/>
        <v>Фізична особа</v>
      </c>
      <c r="H2716" s="1" t="s">
        <v>20</v>
      </c>
      <c r="I2716" s="1" t="s">
        <v>20</v>
      </c>
      <c r="J2716" s="1" t="str">
        <f t="shared" si="393"/>
        <v>Закрито</v>
      </c>
      <c r="K2716" s="5">
        <v>45622</v>
      </c>
      <c r="L2716" s="1" t="s">
        <v>20</v>
      </c>
      <c r="M2716" s="1" t="s">
        <v>22</v>
      </c>
      <c r="N2716" s="5">
        <v>45622</v>
      </c>
    </row>
    <row r="2717" spans="1:14" x14ac:dyDescent="0.3">
      <c r="A2717" s="1" t="str">
        <f>"3_1431/4-11/2024/Я"</f>
        <v>3_1431/4-11/2024/Я</v>
      </c>
      <c r="B2717" s="6">
        <v>45622</v>
      </c>
      <c r="C2717" s="1" t="str">
        <f>"00060"</f>
        <v>00060</v>
      </c>
      <c r="D2717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717" s="1" t="s">
        <v>20</v>
      </c>
      <c r="F2717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717" s="1" t="str">
        <f t="shared" si="391"/>
        <v>Фізична особа</v>
      </c>
      <c r="H2717" s="1" t="s">
        <v>20</v>
      </c>
      <c r="I2717" s="1" t="s">
        <v>20</v>
      </c>
      <c r="J2717" s="1" t="str">
        <f>"Результат підготовлено СНАП"</f>
        <v>Результат підготовлено СНАП</v>
      </c>
      <c r="K2717" s="5">
        <v>45623</v>
      </c>
      <c r="L2717" s="1" t="str">
        <f>"151.4"</f>
        <v>151.4</v>
      </c>
      <c r="M2717" s="1" t="s">
        <v>22</v>
      </c>
      <c r="N2717" s="1" t="s">
        <v>20</v>
      </c>
    </row>
    <row r="2718" spans="1:14" x14ac:dyDescent="0.3">
      <c r="A2718" s="1" t="str">
        <f>"3_1432/4-11/2024/Я"</f>
        <v>3_1432/4-11/2024/Я</v>
      </c>
      <c r="B2718" s="6">
        <v>45622</v>
      </c>
      <c r="C2718" s="1" t="str">
        <f>"00060"</f>
        <v>00060</v>
      </c>
      <c r="D2718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718" s="1" t="s">
        <v>20</v>
      </c>
      <c r="F2718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718" s="1" t="str">
        <f t="shared" si="391"/>
        <v>Фізична особа</v>
      </c>
      <c r="H2718" s="1" t="s">
        <v>20</v>
      </c>
      <c r="I2718" s="1" t="s">
        <v>20</v>
      </c>
      <c r="J2718" s="1" t="str">
        <f>"Результат підготовлено СНАП"</f>
        <v>Результат підготовлено СНАП</v>
      </c>
      <c r="K2718" s="5">
        <v>45623</v>
      </c>
      <c r="L2718" s="1" t="str">
        <f>"151.4"</f>
        <v>151.4</v>
      </c>
      <c r="M2718" s="1" t="s">
        <v>22</v>
      </c>
      <c r="N2718" s="1" t="s">
        <v>20</v>
      </c>
    </row>
    <row r="2719" spans="1:14" x14ac:dyDescent="0.3">
      <c r="A2719" s="1" t="str">
        <f>"1_6044/2129-11/2024/Х"</f>
        <v>1_6044/2129-11/2024/Х</v>
      </c>
      <c r="B2719" s="6">
        <v>45622</v>
      </c>
      <c r="C2719" s="1" t="str">
        <f>"00038"</f>
        <v>00038</v>
      </c>
      <c r="D271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19" s="1" t="s">
        <v>20</v>
      </c>
      <c r="F271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19" s="1" t="str">
        <f t="shared" si="391"/>
        <v>Фізична особа</v>
      </c>
      <c r="H2719" s="1" t="s">
        <v>20</v>
      </c>
      <c r="I2719" s="1" t="s">
        <v>20</v>
      </c>
      <c r="J2719" s="1" t="str">
        <f>"Закрито"</f>
        <v>Закрито</v>
      </c>
      <c r="K2719" s="5">
        <v>45622</v>
      </c>
      <c r="L2719" s="1" t="s">
        <v>20</v>
      </c>
      <c r="M2719" s="1" t="s">
        <v>22</v>
      </c>
      <c r="N2719" s="5">
        <v>45622</v>
      </c>
    </row>
    <row r="2720" spans="1:14" x14ac:dyDescent="0.3">
      <c r="A2720" s="1" t="str">
        <f>"1_6045/2129-11/2024/В"</f>
        <v>1_6045/2129-11/2024/В</v>
      </c>
      <c r="B2720" s="6">
        <v>45622</v>
      </c>
      <c r="C2720" s="1" t="str">
        <f>"00038"</f>
        <v>00038</v>
      </c>
      <c r="D272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20" s="1" t="s">
        <v>20</v>
      </c>
      <c r="F272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20" s="1" t="str">
        <f t="shared" si="391"/>
        <v>Фізична особа</v>
      </c>
      <c r="H2720" s="1" t="s">
        <v>20</v>
      </c>
      <c r="I2720" s="1" t="s">
        <v>20</v>
      </c>
      <c r="J2720" s="1" t="str">
        <f>"Закрито"</f>
        <v>Закрито</v>
      </c>
      <c r="K2720" s="5">
        <v>45622</v>
      </c>
      <c r="L2720" s="1" t="s">
        <v>20</v>
      </c>
      <c r="M2720" s="1" t="s">
        <v>22</v>
      </c>
      <c r="N2720" s="5">
        <v>45622</v>
      </c>
    </row>
    <row r="2721" spans="1:14" x14ac:dyDescent="0.3">
      <c r="A2721" s="1" t="str">
        <f>"1_6046/2129-11/2024/Ш"</f>
        <v>1_6046/2129-11/2024/Ш</v>
      </c>
      <c r="B2721" s="6">
        <v>45622</v>
      </c>
      <c r="C2721" s="1" t="str">
        <f>"00038"</f>
        <v>00038</v>
      </c>
      <c r="D272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21" s="1" t="s">
        <v>20</v>
      </c>
      <c r="F272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21" s="1" t="str">
        <f t="shared" si="391"/>
        <v>Фізична особа</v>
      </c>
      <c r="H2721" s="1" t="s">
        <v>20</v>
      </c>
      <c r="I2721" s="1" t="s">
        <v>20</v>
      </c>
      <c r="J2721" s="1" t="str">
        <f>"Закрито"</f>
        <v>Закрито</v>
      </c>
      <c r="K2721" s="5">
        <v>45622</v>
      </c>
      <c r="L2721" s="1" t="s">
        <v>20</v>
      </c>
      <c r="M2721" s="1" t="s">
        <v>22</v>
      </c>
      <c r="N2721" s="5">
        <v>45622</v>
      </c>
    </row>
    <row r="2722" spans="1:14" x14ac:dyDescent="0.3">
      <c r="A2722" s="1" t="str">
        <f>"9_1718/04054323-11/2024/З"</f>
        <v>9_1718/04054323-11/2024/З</v>
      </c>
      <c r="B2722" s="6">
        <v>45622</v>
      </c>
      <c r="C2722" s="1" t="str">
        <f>"01"</f>
        <v>01</v>
      </c>
      <c r="D2722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2722" s="1" t="str">
        <f>"04054323"</f>
        <v>04054323</v>
      </c>
      <c r="F2722" s="1" t="str">
        <f>"Рогатинська міська рада"</f>
        <v>Рогатинська міська рада</v>
      </c>
      <c r="G2722" s="1" t="str">
        <f t="shared" si="391"/>
        <v>Фізична особа</v>
      </c>
      <c r="H2722" s="1" t="s">
        <v>20</v>
      </c>
      <c r="I2722" s="1" t="s">
        <v>20</v>
      </c>
      <c r="J2722" s="1" t="str">
        <f>"На обробці в СНАП"</f>
        <v>На обробці в СНАП</v>
      </c>
      <c r="K2722" s="1" t="s">
        <v>20</v>
      </c>
      <c r="L2722" s="1" t="s">
        <v>20</v>
      </c>
      <c r="M2722" s="1" t="s">
        <v>22</v>
      </c>
      <c r="N2722" s="1" t="s">
        <v>20</v>
      </c>
    </row>
    <row r="2723" spans="1:14" x14ac:dyDescent="0.3">
      <c r="A2723" s="1" t="str">
        <f>"26_390-11/2024/В"</f>
        <v>26_390-11/2024/В</v>
      </c>
      <c r="B2723" s="6">
        <v>45622</v>
      </c>
      <c r="C2723" s="1" t="str">
        <f>"00155"</f>
        <v>00155</v>
      </c>
      <c r="D2723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23" s="1" t="str">
        <f>"03193413"</f>
        <v>03193413</v>
      </c>
      <c r="F272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23" s="1" t="str">
        <f t="shared" si="391"/>
        <v>Фізична особа</v>
      </c>
      <c r="H2723" s="1" t="s">
        <v>20</v>
      </c>
      <c r="I2723" s="1" t="s">
        <v>20</v>
      </c>
      <c r="J2723" s="1" t="str">
        <f>"На обробці в СНАП"</f>
        <v>На обробці в СНАП</v>
      </c>
      <c r="K2723" s="1" t="s">
        <v>20</v>
      </c>
      <c r="L2723" s="1" t="s">
        <v>20</v>
      </c>
      <c r="M2723" s="1" t="s">
        <v>22</v>
      </c>
      <c r="N2723" s="1" t="s">
        <v>20</v>
      </c>
    </row>
    <row r="2724" spans="1:14" x14ac:dyDescent="0.3">
      <c r="A2724" s="1" t="str">
        <f>"33_428-11/2024/О"</f>
        <v>33_428-11/2024/О</v>
      </c>
      <c r="B2724" s="6">
        <v>45622</v>
      </c>
      <c r="C2724" s="1" t="str">
        <f>"33"</f>
        <v>33</v>
      </c>
      <c r="D2724" s="2" t="str">
        <f>"33 Довідки різного характеру"</f>
        <v>33 Довідки різного характеру</v>
      </c>
      <c r="E2724" s="1" t="s">
        <v>20</v>
      </c>
      <c r="F272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24" s="1" t="str">
        <f t="shared" si="391"/>
        <v>Фізична особа</v>
      </c>
      <c r="H2724" s="1" t="s">
        <v>20</v>
      </c>
      <c r="I2724" s="1" t="s">
        <v>20</v>
      </c>
      <c r="J2724" s="1" t="str">
        <f t="shared" ref="J2724:J2738" si="394">"Закрито"</f>
        <v>Закрито</v>
      </c>
      <c r="K2724" s="5">
        <v>45622</v>
      </c>
      <c r="L2724" s="1" t="s">
        <v>20</v>
      </c>
      <c r="M2724" s="1" t="s">
        <v>22</v>
      </c>
      <c r="N2724" s="5">
        <v>45622</v>
      </c>
    </row>
    <row r="2725" spans="1:14" x14ac:dyDescent="0.3">
      <c r="A2725" s="1" t="str">
        <f>"9_1719/04054323-11/2024/Б"</f>
        <v>9_1719/04054323-11/2024/Б</v>
      </c>
      <c r="B2725" s="6">
        <v>45622</v>
      </c>
      <c r="C2725" s="1" t="str">
        <f>"00199"</f>
        <v>00199</v>
      </c>
      <c r="D2725" s="2" t="str">
        <f>"00199 Видача рішення про надання дозволу на розроблення проекту землеустрою щодо відведення земельної ділянки"</f>
        <v>00199 Видача рішення про надання дозволу на розроблення проекту землеустрою щодо відведення земельної ділянки</v>
      </c>
      <c r="E2725" s="1" t="str">
        <f>"04054323"</f>
        <v>04054323</v>
      </c>
      <c r="F2725" s="1" t="str">
        <f>"Рогатинська міська рада"</f>
        <v>Рогатинська міська рада</v>
      </c>
      <c r="G2725" s="1" t="str">
        <f t="shared" si="391"/>
        <v>Фізична особа</v>
      </c>
      <c r="H2725" s="1" t="s">
        <v>20</v>
      </c>
      <c r="I2725" s="1" t="s">
        <v>20</v>
      </c>
      <c r="J2725" s="1" t="str">
        <f t="shared" si="394"/>
        <v>Закрито</v>
      </c>
      <c r="K2725" s="5">
        <v>45636</v>
      </c>
      <c r="L2725" s="1" t="s">
        <v>20</v>
      </c>
      <c r="M2725" s="1" t="s">
        <v>22</v>
      </c>
      <c r="N2725" s="5">
        <v>45636</v>
      </c>
    </row>
    <row r="2726" spans="1:14" x14ac:dyDescent="0.3">
      <c r="A2726" s="1" t="str">
        <f>"33_429-11/2024/О"</f>
        <v>33_429-11/2024/О</v>
      </c>
      <c r="B2726" s="6">
        <v>45622</v>
      </c>
      <c r="C2726" s="1" t="str">
        <f>"00064"</f>
        <v>00064</v>
      </c>
      <c r="D2726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726" s="1" t="s">
        <v>20</v>
      </c>
      <c r="F2726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726" s="1" t="str">
        <f t="shared" si="391"/>
        <v>Фізична особа</v>
      </c>
      <c r="H2726" s="1" t="s">
        <v>20</v>
      </c>
      <c r="I2726" s="1" t="s">
        <v>20</v>
      </c>
      <c r="J2726" s="1" t="str">
        <f t="shared" si="394"/>
        <v>Закрито</v>
      </c>
      <c r="K2726" s="1" t="s">
        <v>20</v>
      </c>
      <c r="L2726" s="1" t="s">
        <v>20</v>
      </c>
      <c r="M2726" s="1" t="s">
        <v>22</v>
      </c>
      <c r="N2726" s="1" t="s">
        <v>20</v>
      </c>
    </row>
    <row r="2727" spans="1:14" x14ac:dyDescent="0.3">
      <c r="A2727" s="1" t="str">
        <f>"9_1720/04054323-11/2024/Б"</f>
        <v>9_1720/04054323-11/2024/Б</v>
      </c>
      <c r="B2727" s="6">
        <v>45622</v>
      </c>
      <c r="C2727" s="1" t="str">
        <f>"00199"</f>
        <v>00199</v>
      </c>
      <c r="D2727" s="2" t="str">
        <f>"00199 Видача рішення про надання дозволу на розроблення проекту землеустрою щодо відведення земельної ділянки"</f>
        <v>00199 Видача рішення про надання дозволу на розроблення проекту землеустрою щодо відведення земельної ділянки</v>
      </c>
      <c r="E2727" s="1" t="str">
        <f>"04054323"</f>
        <v>04054323</v>
      </c>
      <c r="F2727" s="1" t="str">
        <f>"Рогатинська міська рада"</f>
        <v>Рогатинська міська рада</v>
      </c>
      <c r="G2727" s="1" t="str">
        <f t="shared" si="391"/>
        <v>Фізична особа</v>
      </c>
      <c r="H2727" s="1" t="s">
        <v>20</v>
      </c>
      <c r="I2727" s="1" t="s">
        <v>20</v>
      </c>
      <c r="J2727" s="1" t="str">
        <f t="shared" si="394"/>
        <v>Закрито</v>
      </c>
      <c r="K2727" s="5">
        <v>45636</v>
      </c>
      <c r="L2727" s="1" t="s">
        <v>20</v>
      </c>
      <c r="M2727" s="1" t="s">
        <v>22</v>
      </c>
      <c r="N2727" s="5">
        <v>45636</v>
      </c>
    </row>
    <row r="2728" spans="1:14" x14ac:dyDescent="0.3">
      <c r="A2728" s="1" t="str">
        <f>"5_506-11/2024/К"</f>
        <v>5_506-11/2024/К</v>
      </c>
      <c r="B2728" s="6">
        <v>45622</v>
      </c>
      <c r="C2728" s="1" t="str">
        <f>"00155"</f>
        <v>00155</v>
      </c>
      <c r="D2728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28" s="1" t="str">
        <f>"03193413"</f>
        <v>03193413</v>
      </c>
      <c r="F272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28" s="1" t="str">
        <f t="shared" si="391"/>
        <v>Фізична особа</v>
      </c>
      <c r="H2728" s="1" t="s">
        <v>20</v>
      </c>
      <c r="I2728" s="1" t="s">
        <v>20</v>
      </c>
      <c r="J2728" s="1" t="str">
        <f t="shared" si="394"/>
        <v>Закрито</v>
      </c>
      <c r="K2728" s="5">
        <v>45629</v>
      </c>
      <c r="L2728" s="1" t="s">
        <v>20</v>
      </c>
      <c r="M2728" s="1" t="s">
        <v>22</v>
      </c>
      <c r="N2728" s="5">
        <v>45629</v>
      </c>
    </row>
    <row r="2729" spans="1:14" x14ac:dyDescent="0.3">
      <c r="A2729" s="1" t="str">
        <f>"26_391-11/2024/Г"</f>
        <v>26_391-11/2024/Г</v>
      </c>
      <c r="B2729" s="6">
        <v>45622</v>
      </c>
      <c r="C2729" s="1" t="str">
        <f t="shared" ref="C2729:C2735" si="395">"00038"</f>
        <v>00038</v>
      </c>
      <c r="D2729" s="2" t="str">
        <f t="shared" ref="D2729:D2735" si="396"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29" s="1" t="s">
        <v>20</v>
      </c>
      <c r="F2729" s="1" t="str">
        <f t="shared" ref="F2729:F2735" si="397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29" s="1" t="str">
        <f t="shared" si="391"/>
        <v>Фізична особа</v>
      </c>
      <c r="H2729" s="1" t="s">
        <v>20</v>
      </c>
      <c r="I2729" s="1" t="s">
        <v>20</v>
      </c>
      <c r="J2729" s="1" t="str">
        <f t="shared" si="394"/>
        <v>Закрито</v>
      </c>
      <c r="K2729" s="5">
        <v>45622</v>
      </c>
      <c r="L2729" s="1" t="s">
        <v>20</v>
      </c>
      <c r="M2729" s="1" t="s">
        <v>22</v>
      </c>
      <c r="N2729" s="5">
        <v>45622</v>
      </c>
    </row>
    <row r="2730" spans="1:14" x14ac:dyDescent="0.3">
      <c r="A2730" s="1" t="str">
        <f>"14_1030-11/2024/Д"</f>
        <v>14_1030-11/2024/Д</v>
      </c>
      <c r="B2730" s="6">
        <v>45622</v>
      </c>
      <c r="C2730" s="1" t="str">
        <f t="shared" si="395"/>
        <v>00038</v>
      </c>
      <c r="D2730" s="2" t="str">
        <f t="shared" si="396"/>
        <v>Видача довідки про реєстрацію місця проживання або місця перебування особи</v>
      </c>
      <c r="E2730" s="1" t="s">
        <v>20</v>
      </c>
      <c r="F2730" s="1" t="str">
        <f t="shared" si="397"/>
        <v>Центр надання адміністративних послуг Рогатинської міської ради</v>
      </c>
      <c r="G2730" s="1" t="str">
        <f t="shared" si="391"/>
        <v>Фізична особа</v>
      </c>
      <c r="H2730" s="1" t="s">
        <v>20</v>
      </c>
      <c r="I2730" s="1" t="s">
        <v>20</v>
      </c>
      <c r="J2730" s="1" t="str">
        <f t="shared" si="394"/>
        <v>Закрито</v>
      </c>
      <c r="K2730" s="5">
        <v>45622</v>
      </c>
      <c r="L2730" s="1" t="s">
        <v>20</v>
      </c>
      <c r="M2730" s="1" t="s">
        <v>22</v>
      </c>
      <c r="N2730" s="5">
        <v>45622</v>
      </c>
    </row>
    <row r="2731" spans="1:14" x14ac:dyDescent="0.3">
      <c r="A2731" s="1" t="str">
        <f>"26_392-11/2024/Ш"</f>
        <v>26_392-11/2024/Ш</v>
      </c>
      <c r="B2731" s="6">
        <v>45622</v>
      </c>
      <c r="C2731" s="1" t="str">
        <f t="shared" si="395"/>
        <v>00038</v>
      </c>
      <c r="D2731" s="2" t="str">
        <f t="shared" si="396"/>
        <v>Видача довідки про реєстрацію місця проживання або місця перебування особи</v>
      </c>
      <c r="E2731" s="1" t="s">
        <v>20</v>
      </c>
      <c r="F2731" s="1" t="str">
        <f t="shared" si="397"/>
        <v>Центр надання адміністративних послуг Рогатинської міської ради</v>
      </c>
      <c r="G2731" s="1" t="str">
        <f t="shared" si="391"/>
        <v>Фізична особа</v>
      </c>
      <c r="H2731" s="1" t="s">
        <v>20</v>
      </c>
      <c r="I2731" s="1" t="s">
        <v>20</v>
      </c>
      <c r="J2731" s="1" t="str">
        <f t="shared" si="394"/>
        <v>Закрито</v>
      </c>
      <c r="K2731" s="5">
        <v>45622</v>
      </c>
      <c r="L2731" s="1" t="s">
        <v>20</v>
      </c>
      <c r="M2731" s="1" t="s">
        <v>22</v>
      </c>
      <c r="N2731" s="5">
        <v>45622</v>
      </c>
    </row>
    <row r="2732" spans="1:14" x14ac:dyDescent="0.3">
      <c r="A2732" s="1" t="str">
        <f>"1_6047/2129-11/2024/Ш"</f>
        <v>1_6047/2129-11/2024/Ш</v>
      </c>
      <c r="B2732" s="6">
        <v>45622</v>
      </c>
      <c r="C2732" s="1" t="str">
        <f t="shared" si="395"/>
        <v>00038</v>
      </c>
      <c r="D2732" s="2" t="str">
        <f t="shared" si="396"/>
        <v>Видача довідки про реєстрацію місця проживання або місця перебування особи</v>
      </c>
      <c r="E2732" s="1" t="s">
        <v>20</v>
      </c>
      <c r="F2732" s="1" t="str">
        <f t="shared" si="397"/>
        <v>Центр надання адміністративних послуг Рогатинської міської ради</v>
      </c>
      <c r="G2732" s="1" t="str">
        <f t="shared" si="391"/>
        <v>Фізична особа</v>
      </c>
      <c r="H2732" s="1" t="s">
        <v>20</v>
      </c>
      <c r="I2732" s="1" t="s">
        <v>20</v>
      </c>
      <c r="J2732" s="1" t="str">
        <f t="shared" si="394"/>
        <v>Закрито</v>
      </c>
      <c r="K2732" s="5">
        <v>45622</v>
      </c>
      <c r="L2732" s="1" t="s">
        <v>20</v>
      </c>
      <c r="M2732" s="1" t="s">
        <v>22</v>
      </c>
      <c r="N2732" s="5">
        <v>45622</v>
      </c>
    </row>
    <row r="2733" spans="1:14" x14ac:dyDescent="0.3">
      <c r="A2733" s="1" t="str">
        <f>"14_1031-11/2024/Д"</f>
        <v>14_1031-11/2024/Д</v>
      </c>
      <c r="B2733" s="6">
        <v>45622</v>
      </c>
      <c r="C2733" s="1" t="str">
        <f t="shared" si="395"/>
        <v>00038</v>
      </c>
      <c r="D2733" s="2" t="str">
        <f t="shared" si="396"/>
        <v>Видача довідки про реєстрацію місця проживання або місця перебування особи</v>
      </c>
      <c r="E2733" s="1" t="s">
        <v>20</v>
      </c>
      <c r="F2733" s="1" t="str">
        <f t="shared" si="397"/>
        <v>Центр надання адміністративних послуг Рогатинської міської ради</v>
      </c>
      <c r="G2733" s="1" t="str">
        <f t="shared" si="391"/>
        <v>Фізична особа</v>
      </c>
      <c r="H2733" s="1" t="s">
        <v>20</v>
      </c>
      <c r="I2733" s="1" t="s">
        <v>20</v>
      </c>
      <c r="J2733" s="1" t="str">
        <f t="shared" si="394"/>
        <v>Закрито</v>
      </c>
      <c r="K2733" s="5">
        <v>45622</v>
      </c>
      <c r="L2733" s="1" t="s">
        <v>20</v>
      </c>
      <c r="M2733" s="1" t="s">
        <v>22</v>
      </c>
      <c r="N2733" s="5">
        <v>45622</v>
      </c>
    </row>
    <row r="2734" spans="1:14" x14ac:dyDescent="0.3">
      <c r="A2734" s="1" t="str">
        <f>"1_6048/2129-11/2024/Ш"</f>
        <v>1_6048/2129-11/2024/Ш</v>
      </c>
      <c r="B2734" s="6">
        <v>45622</v>
      </c>
      <c r="C2734" s="1" t="str">
        <f t="shared" si="395"/>
        <v>00038</v>
      </c>
      <c r="D2734" s="2" t="str">
        <f t="shared" si="396"/>
        <v>Видача довідки про реєстрацію місця проживання або місця перебування особи</v>
      </c>
      <c r="E2734" s="1" t="s">
        <v>20</v>
      </c>
      <c r="F2734" s="1" t="str">
        <f t="shared" si="397"/>
        <v>Центр надання адміністративних послуг Рогатинської міської ради</v>
      </c>
      <c r="G2734" s="1" t="str">
        <f t="shared" si="391"/>
        <v>Фізична особа</v>
      </c>
      <c r="H2734" s="1" t="s">
        <v>20</v>
      </c>
      <c r="I2734" s="1" t="s">
        <v>20</v>
      </c>
      <c r="J2734" s="1" t="str">
        <f t="shared" si="394"/>
        <v>Закрито</v>
      </c>
      <c r="K2734" s="5">
        <v>45622</v>
      </c>
      <c r="L2734" s="1" t="s">
        <v>20</v>
      </c>
      <c r="M2734" s="1" t="s">
        <v>22</v>
      </c>
      <c r="N2734" s="5">
        <v>45622</v>
      </c>
    </row>
    <row r="2735" spans="1:14" x14ac:dyDescent="0.3">
      <c r="A2735" s="1" t="str">
        <f>"1_6049/2129-11/2024/Д"</f>
        <v>1_6049/2129-11/2024/Д</v>
      </c>
      <c r="B2735" s="6">
        <v>45622</v>
      </c>
      <c r="C2735" s="1" t="str">
        <f t="shared" si="395"/>
        <v>00038</v>
      </c>
      <c r="D2735" s="2" t="str">
        <f t="shared" si="396"/>
        <v>Видача довідки про реєстрацію місця проживання або місця перебування особи</v>
      </c>
      <c r="E2735" s="1" t="s">
        <v>20</v>
      </c>
      <c r="F2735" s="1" t="str">
        <f t="shared" si="397"/>
        <v>Центр надання адміністративних послуг Рогатинської міської ради</v>
      </c>
      <c r="G2735" s="1" t="str">
        <f t="shared" si="391"/>
        <v>Фізична особа</v>
      </c>
      <c r="H2735" s="1" t="s">
        <v>20</v>
      </c>
      <c r="I2735" s="1" t="s">
        <v>20</v>
      </c>
      <c r="J2735" s="1" t="str">
        <f t="shared" si="394"/>
        <v>Закрито</v>
      </c>
      <c r="K2735" s="5">
        <v>45622</v>
      </c>
      <c r="L2735" s="1" t="s">
        <v>20</v>
      </c>
      <c r="M2735" s="1" t="s">
        <v>22</v>
      </c>
      <c r="N2735" s="5">
        <v>45622</v>
      </c>
    </row>
    <row r="2736" spans="1:14" x14ac:dyDescent="0.3">
      <c r="A2736" s="1" t="str">
        <f>"6_359/04054323-11/2024/К"</f>
        <v>6_359/04054323-11/2024/К</v>
      </c>
      <c r="B2736" s="6">
        <v>45622</v>
      </c>
      <c r="C2736" s="1" t="str">
        <f>""</f>
        <v/>
      </c>
      <c r="D2736" s="2" t="str">
        <f>"Заява на видачу витягу про підтвердження адресної частини"</f>
        <v>Заява на видачу витягу про підтвердження адресної частини</v>
      </c>
      <c r="E2736" s="1" t="str">
        <f>"04054323"</f>
        <v>04054323</v>
      </c>
      <c r="F2736" s="1" t="str">
        <f>"Рогатинська міська рада"</f>
        <v>Рогатинська міська рада</v>
      </c>
      <c r="G2736" s="1" t="str">
        <f t="shared" si="391"/>
        <v>Фізична особа</v>
      </c>
      <c r="H2736" s="1" t="s">
        <v>20</v>
      </c>
      <c r="I2736" s="1" t="s">
        <v>20</v>
      </c>
      <c r="J2736" s="1" t="str">
        <f t="shared" si="394"/>
        <v>Закрито</v>
      </c>
      <c r="K2736" s="5">
        <v>45629</v>
      </c>
      <c r="L2736" s="1" t="s">
        <v>20</v>
      </c>
      <c r="M2736" s="1" t="s">
        <v>22</v>
      </c>
      <c r="N2736" s="5">
        <v>45629</v>
      </c>
    </row>
    <row r="2737" spans="1:14" x14ac:dyDescent="0.3">
      <c r="A2737" s="1" t="str">
        <f>"4_1302/03193413-11/2024/С"</f>
        <v>4_1302/03193413-11/2024/С</v>
      </c>
      <c r="B2737" s="6">
        <v>45622</v>
      </c>
      <c r="C2737" s="1" t="str">
        <f>"00155"</f>
        <v>00155</v>
      </c>
      <c r="D2737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37" s="1" t="str">
        <f>"03193413"</f>
        <v>03193413</v>
      </c>
      <c r="F273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37" s="1" t="str">
        <f t="shared" si="391"/>
        <v>Фізична особа</v>
      </c>
      <c r="H2737" s="1" t="s">
        <v>20</v>
      </c>
      <c r="I2737" s="1" t="s">
        <v>20</v>
      </c>
      <c r="J2737" s="1" t="str">
        <f t="shared" si="394"/>
        <v>Закрито</v>
      </c>
      <c r="K2737" s="1" t="s">
        <v>20</v>
      </c>
      <c r="L2737" s="1" t="s">
        <v>20</v>
      </c>
      <c r="M2737" s="1" t="s">
        <v>22</v>
      </c>
      <c r="N2737" s="1" t="s">
        <v>20</v>
      </c>
    </row>
    <row r="2738" spans="1:14" x14ac:dyDescent="0.3">
      <c r="A2738" s="1" t="str">
        <f>"4_1303/03193413-11/2024/с"</f>
        <v>4_1303/03193413-11/2024/с</v>
      </c>
      <c r="B2738" s="6">
        <v>45622</v>
      </c>
      <c r="C2738" s="1" t="str">
        <f>"00155"</f>
        <v>00155</v>
      </c>
      <c r="D2738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38" s="1" t="str">
        <f>"03193413"</f>
        <v>03193413</v>
      </c>
      <c r="F273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38" s="1" t="str">
        <f t="shared" si="391"/>
        <v>Фізична особа</v>
      </c>
      <c r="H2738" s="1" t="s">
        <v>20</v>
      </c>
      <c r="I2738" s="1" t="s">
        <v>20</v>
      </c>
      <c r="J2738" s="1" t="str">
        <f t="shared" si="394"/>
        <v>Закрито</v>
      </c>
      <c r="K2738" s="5">
        <v>45622</v>
      </c>
      <c r="L2738" s="1" t="s">
        <v>20</v>
      </c>
      <c r="M2738" s="1" t="s">
        <v>22</v>
      </c>
      <c r="N2738" s="5">
        <v>45622</v>
      </c>
    </row>
    <row r="2739" spans="1:14" x14ac:dyDescent="0.3">
      <c r="A2739" s="1" t="str">
        <f>"22_566-11/2024/П"</f>
        <v>22_566-11/2024/П</v>
      </c>
      <c r="B2739" s="6">
        <v>45622</v>
      </c>
      <c r="C2739" s="1" t="str">
        <f>"00155"</f>
        <v>00155</v>
      </c>
      <c r="D2739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39" s="1" t="str">
        <f>"03193413"</f>
        <v>03193413</v>
      </c>
      <c r="F273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39" s="1" t="str">
        <f t="shared" si="391"/>
        <v>Фізична особа</v>
      </c>
      <c r="H2739" s="1" t="s">
        <v>20</v>
      </c>
      <c r="I2739" s="1" t="s">
        <v>20</v>
      </c>
      <c r="J2739" s="1" t="str">
        <f>"На обробці в СНАП"</f>
        <v>На обробці в СНАП</v>
      </c>
      <c r="K2739" s="1" t="s">
        <v>20</v>
      </c>
      <c r="L2739" s="1" t="s">
        <v>20</v>
      </c>
      <c r="M2739" s="1" t="s">
        <v>22</v>
      </c>
      <c r="N2739" s="1" t="s">
        <v>20</v>
      </c>
    </row>
    <row r="2740" spans="1:14" x14ac:dyDescent="0.3">
      <c r="A2740" s="1" t="str">
        <f>"1_6050/2129-11/2024/К"</f>
        <v>1_6050/2129-11/2024/К</v>
      </c>
      <c r="B2740" s="6">
        <v>45622</v>
      </c>
      <c r="C2740" s="1" t="str">
        <f t="shared" ref="C2740:C2746" si="398">"00038"</f>
        <v>00038</v>
      </c>
      <c r="D2740" s="2" t="str">
        <f t="shared" ref="D2740:D2746" si="399"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40" s="1" t="s">
        <v>20</v>
      </c>
      <c r="F2740" s="1" t="str">
        <f t="shared" ref="F2740:F2750" si="400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40" s="1" t="str">
        <f t="shared" si="391"/>
        <v>Фізична особа</v>
      </c>
      <c r="H2740" s="1" t="s">
        <v>20</v>
      </c>
      <c r="I2740" s="1" t="s">
        <v>20</v>
      </c>
      <c r="J2740" s="1" t="str">
        <f t="shared" ref="J2740:J2760" si="401">"Закрито"</f>
        <v>Закрито</v>
      </c>
      <c r="K2740" s="5">
        <v>45622</v>
      </c>
      <c r="L2740" s="1" t="s">
        <v>20</v>
      </c>
      <c r="M2740" s="1" t="s">
        <v>22</v>
      </c>
      <c r="N2740" s="5">
        <v>45622</v>
      </c>
    </row>
    <row r="2741" spans="1:14" x14ac:dyDescent="0.3">
      <c r="A2741" s="1" t="str">
        <f>"35_521-11/2024/Г"</f>
        <v>35_521-11/2024/Г</v>
      </c>
      <c r="B2741" s="6">
        <v>45622</v>
      </c>
      <c r="C2741" s="1" t="str">
        <f t="shared" si="398"/>
        <v>00038</v>
      </c>
      <c r="D2741" s="2" t="str">
        <f t="shared" si="399"/>
        <v>Видача довідки про реєстрацію місця проживання або місця перебування особи</v>
      </c>
      <c r="E2741" s="1" t="s">
        <v>20</v>
      </c>
      <c r="F2741" s="1" t="str">
        <f t="shared" si="400"/>
        <v>Центр надання адміністративних послуг Рогатинської міської ради</v>
      </c>
      <c r="G2741" s="1" t="str">
        <f t="shared" ref="G2741:G2772" si="402">"Фізична особа"</f>
        <v>Фізична особа</v>
      </c>
      <c r="H2741" s="1" t="s">
        <v>20</v>
      </c>
      <c r="I2741" s="1" t="s">
        <v>20</v>
      </c>
      <c r="J2741" s="1" t="str">
        <f t="shared" si="401"/>
        <v>Закрито</v>
      </c>
      <c r="K2741" s="5">
        <v>45622</v>
      </c>
      <c r="L2741" s="1" t="s">
        <v>20</v>
      </c>
      <c r="M2741" s="1" t="s">
        <v>22</v>
      </c>
      <c r="N2741" s="5">
        <v>45622</v>
      </c>
    </row>
    <row r="2742" spans="1:14" x14ac:dyDescent="0.3">
      <c r="A2742" s="1" t="str">
        <f>"26_393-11/2024/Я"</f>
        <v>26_393-11/2024/Я</v>
      </c>
      <c r="B2742" s="6">
        <v>45622</v>
      </c>
      <c r="C2742" s="1" t="str">
        <f t="shared" si="398"/>
        <v>00038</v>
      </c>
      <c r="D2742" s="2" t="str">
        <f t="shared" si="399"/>
        <v>Видача довідки про реєстрацію місця проживання або місця перебування особи</v>
      </c>
      <c r="E2742" s="1" t="s">
        <v>20</v>
      </c>
      <c r="F2742" s="1" t="str">
        <f t="shared" si="400"/>
        <v>Центр надання адміністративних послуг Рогатинської міської ради</v>
      </c>
      <c r="G2742" s="1" t="str">
        <f t="shared" si="402"/>
        <v>Фізична особа</v>
      </c>
      <c r="H2742" s="1" t="s">
        <v>20</v>
      </c>
      <c r="I2742" s="1" t="s">
        <v>20</v>
      </c>
      <c r="J2742" s="1" t="str">
        <f t="shared" si="401"/>
        <v>Закрито</v>
      </c>
      <c r="K2742" s="5">
        <v>45622</v>
      </c>
      <c r="L2742" s="1" t="s">
        <v>20</v>
      </c>
      <c r="M2742" s="1" t="s">
        <v>22</v>
      </c>
      <c r="N2742" s="5">
        <v>45622</v>
      </c>
    </row>
    <row r="2743" spans="1:14" x14ac:dyDescent="0.3">
      <c r="A2743" s="1" t="str">
        <f>"20_186-11/2024/К"</f>
        <v>20_186-11/2024/К</v>
      </c>
      <c r="B2743" s="6">
        <v>45622</v>
      </c>
      <c r="C2743" s="1" t="str">
        <f t="shared" si="398"/>
        <v>00038</v>
      </c>
      <c r="D2743" s="2" t="str">
        <f t="shared" si="399"/>
        <v>Видача довідки про реєстрацію місця проживання або місця перебування особи</v>
      </c>
      <c r="E2743" s="1" t="s">
        <v>20</v>
      </c>
      <c r="F2743" s="1" t="str">
        <f t="shared" si="400"/>
        <v>Центр надання адміністративних послуг Рогатинської міської ради</v>
      </c>
      <c r="G2743" s="1" t="str">
        <f t="shared" si="402"/>
        <v>Фізична особа</v>
      </c>
      <c r="H2743" s="1" t="s">
        <v>20</v>
      </c>
      <c r="I2743" s="1" t="s">
        <v>20</v>
      </c>
      <c r="J2743" s="1" t="str">
        <f t="shared" si="401"/>
        <v>Закрито</v>
      </c>
      <c r="K2743" s="5">
        <v>45622</v>
      </c>
      <c r="L2743" s="1" t="s">
        <v>20</v>
      </c>
      <c r="M2743" s="1" t="s">
        <v>22</v>
      </c>
      <c r="N2743" s="5">
        <v>45622</v>
      </c>
    </row>
    <row r="2744" spans="1:14" x14ac:dyDescent="0.3">
      <c r="A2744" s="1" t="str">
        <f>"20_187-11/2024/Р"</f>
        <v>20_187-11/2024/Р</v>
      </c>
      <c r="B2744" s="6">
        <v>45622</v>
      </c>
      <c r="C2744" s="1" t="str">
        <f t="shared" si="398"/>
        <v>00038</v>
      </c>
      <c r="D2744" s="2" t="str">
        <f t="shared" si="399"/>
        <v>Видача довідки про реєстрацію місця проживання або місця перебування особи</v>
      </c>
      <c r="E2744" s="1" t="s">
        <v>20</v>
      </c>
      <c r="F2744" s="1" t="str">
        <f t="shared" si="400"/>
        <v>Центр надання адміністративних послуг Рогатинської міської ради</v>
      </c>
      <c r="G2744" s="1" t="str">
        <f t="shared" si="402"/>
        <v>Фізична особа</v>
      </c>
      <c r="H2744" s="1" t="s">
        <v>20</v>
      </c>
      <c r="I2744" s="1" t="s">
        <v>20</v>
      </c>
      <c r="J2744" s="1" t="str">
        <f t="shared" si="401"/>
        <v>Закрито</v>
      </c>
      <c r="K2744" s="5">
        <v>45622</v>
      </c>
      <c r="L2744" s="1" t="s">
        <v>20</v>
      </c>
      <c r="M2744" s="1" t="s">
        <v>22</v>
      </c>
      <c r="N2744" s="5">
        <v>45622</v>
      </c>
    </row>
    <row r="2745" spans="1:14" x14ac:dyDescent="0.3">
      <c r="A2745" s="1" t="str">
        <f>"30_637-11/2024/В"</f>
        <v>30_637-11/2024/В</v>
      </c>
      <c r="B2745" s="6">
        <v>45622</v>
      </c>
      <c r="C2745" s="1" t="str">
        <f t="shared" si="398"/>
        <v>00038</v>
      </c>
      <c r="D2745" s="2" t="str">
        <f t="shared" si="399"/>
        <v>Видача довідки про реєстрацію місця проживання або місця перебування особи</v>
      </c>
      <c r="E2745" s="1" t="s">
        <v>20</v>
      </c>
      <c r="F2745" s="1" t="str">
        <f t="shared" si="400"/>
        <v>Центр надання адміністративних послуг Рогатинської міської ради</v>
      </c>
      <c r="G2745" s="1" t="str">
        <f t="shared" si="402"/>
        <v>Фізична особа</v>
      </c>
      <c r="H2745" s="1" t="s">
        <v>20</v>
      </c>
      <c r="I2745" s="1" t="s">
        <v>20</v>
      </c>
      <c r="J2745" s="1" t="str">
        <f t="shared" si="401"/>
        <v>Закрито</v>
      </c>
      <c r="K2745" s="5">
        <v>45622</v>
      </c>
      <c r="L2745" s="1" t="s">
        <v>20</v>
      </c>
      <c r="M2745" s="1" t="s">
        <v>22</v>
      </c>
      <c r="N2745" s="5">
        <v>45622</v>
      </c>
    </row>
    <row r="2746" spans="1:14" x14ac:dyDescent="0.3">
      <c r="A2746" s="1" t="str">
        <f>"20_188-11/2024/Р"</f>
        <v>20_188-11/2024/Р</v>
      </c>
      <c r="B2746" s="6">
        <v>45622</v>
      </c>
      <c r="C2746" s="1" t="str">
        <f t="shared" si="398"/>
        <v>00038</v>
      </c>
      <c r="D2746" s="2" t="str">
        <f t="shared" si="399"/>
        <v>Видача довідки про реєстрацію місця проживання або місця перебування особи</v>
      </c>
      <c r="E2746" s="1" t="s">
        <v>20</v>
      </c>
      <c r="F2746" s="1" t="str">
        <f t="shared" si="400"/>
        <v>Центр надання адміністративних послуг Рогатинської міської ради</v>
      </c>
      <c r="G2746" s="1" t="str">
        <f t="shared" si="402"/>
        <v>Фізична особа</v>
      </c>
      <c r="H2746" s="1" t="s">
        <v>20</v>
      </c>
      <c r="I2746" s="1" t="s">
        <v>20</v>
      </c>
      <c r="J2746" s="1" t="str">
        <f t="shared" si="401"/>
        <v>Закрито</v>
      </c>
      <c r="K2746" s="5">
        <v>45622</v>
      </c>
      <c r="L2746" s="1" t="s">
        <v>20</v>
      </c>
      <c r="M2746" s="1" t="s">
        <v>22</v>
      </c>
      <c r="N2746" s="5">
        <v>45622</v>
      </c>
    </row>
    <row r="2747" spans="1:14" x14ac:dyDescent="0.3">
      <c r="A2747" s="1" t="str">
        <f>"1_6051/2129-11/2024/Г"</f>
        <v>1_6051/2129-11/2024/Г</v>
      </c>
      <c r="B2747" s="6">
        <v>45622</v>
      </c>
      <c r="C2747" s="1" t="str">
        <f>"00034"</f>
        <v>00034</v>
      </c>
      <c r="D2747" s="2" t="str">
        <f>"Реєстрація місця проживання"</f>
        <v>Реєстрація місця проживання</v>
      </c>
      <c r="E2747" s="1" t="s">
        <v>20</v>
      </c>
      <c r="F2747" s="1" t="str">
        <f t="shared" si="400"/>
        <v>Центр надання адміністративних послуг Рогатинської міської ради</v>
      </c>
      <c r="G2747" s="1" t="str">
        <f t="shared" si="402"/>
        <v>Фізична особа</v>
      </c>
      <c r="H2747" s="1" t="s">
        <v>20</v>
      </c>
      <c r="I2747" s="1" t="s">
        <v>20</v>
      </c>
      <c r="J2747" s="1" t="str">
        <f t="shared" si="401"/>
        <v>Закрито</v>
      </c>
      <c r="K2747" s="5">
        <v>45622</v>
      </c>
      <c r="L2747" s="1" t="str">
        <f>"45.42"</f>
        <v>45.42</v>
      </c>
      <c r="M2747" s="1" t="s">
        <v>22</v>
      </c>
      <c r="N2747" s="5">
        <v>45622</v>
      </c>
    </row>
    <row r="2748" spans="1:14" x14ac:dyDescent="0.3">
      <c r="A2748" s="1" t="str">
        <f>"30_638-11/2024/В"</f>
        <v>30_638-11/2024/В</v>
      </c>
      <c r="B2748" s="6">
        <v>45622</v>
      </c>
      <c r="C2748" s="1" t="str">
        <f>"33"</f>
        <v>33</v>
      </c>
      <c r="D2748" s="2" t="str">
        <f>"33 Довідки різного характеру"</f>
        <v>33 Довідки різного характеру</v>
      </c>
      <c r="E2748" s="1" t="s">
        <v>20</v>
      </c>
      <c r="F2748" s="1" t="str">
        <f t="shared" si="400"/>
        <v>Центр надання адміністративних послуг Рогатинської міської ради</v>
      </c>
      <c r="G2748" s="1" t="str">
        <f t="shared" si="402"/>
        <v>Фізична особа</v>
      </c>
      <c r="H2748" s="1" t="s">
        <v>20</v>
      </c>
      <c r="I2748" s="1" t="s">
        <v>20</v>
      </c>
      <c r="J2748" s="1" t="str">
        <f t="shared" si="401"/>
        <v>Закрито</v>
      </c>
      <c r="K2748" s="5">
        <v>45622</v>
      </c>
      <c r="L2748" s="1" t="s">
        <v>20</v>
      </c>
      <c r="M2748" s="1" t="s">
        <v>22</v>
      </c>
      <c r="N2748" s="5">
        <v>45622</v>
      </c>
    </row>
    <row r="2749" spans="1:14" x14ac:dyDescent="0.3">
      <c r="A2749" s="1" t="str">
        <f>"1_6052/2129-11/2024/Г"</f>
        <v>1_6052/2129-11/2024/Г</v>
      </c>
      <c r="B2749" s="6">
        <v>45622</v>
      </c>
      <c r="C2749" s="1" t="str">
        <f>"00038"</f>
        <v>00038</v>
      </c>
      <c r="D274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49" s="1" t="s">
        <v>20</v>
      </c>
      <c r="F2749" s="1" t="str">
        <f t="shared" si="400"/>
        <v>Центр надання адміністративних послуг Рогатинської міської ради</v>
      </c>
      <c r="G2749" s="1" t="str">
        <f t="shared" si="402"/>
        <v>Фізична особа</v>
      </c>
      <c r="H2749" s="1" t="s">
        <v>20</v>
      </c>
      <c r="I2749" s="1" t="s">
        <v>20</v>
      </c>
      <c r="J2749" s="1" t="str">
        <f t="shared" si="401"/>
        <v>Закрито</v>
      </c>
      <c r="K2749" s="5">
        <v>45622</v>
      </c>
      <c r="L2749" s="1" t="s">
        <v>20</v>
      </c>
      <c r="M2749" s="1" t="s">
        <v>22</v>
      </c>
      <c r="N2749" s="5">
        <v>45622</v>
      </c>
    </row>
    <row r="2750" spans="1:14" x14ac:dyDescent="0.3">
      <c r="A2750" s="1" t="str">
        <f>"35_522-11/2024/Ю"</f>
        <v>35_522-11/2024/Ю</v>
      </c>
      <c r="B2750" s="6">
        <v>45622</v>
      </c>
      <c r="C2750" s="1" t="str">
        <f>"33"</f>
        <v>33</v>
      </c>
      <c r="D2750" s="2" t="str">
        <f>"33 Довідки різного характеру"</f>
        <v>33 Довідки різного характеру</v>
      </c>
      <c r="E2750" s="1" t="s">
        <v>20</v>
      </c>
      <c r="F2750" s="1" t="str">
        <f t="shared" si="400"/>
        <v>Центр надання адміністративних послуг Рогатинської міської ради</v>
      </c>
      <c r="G2750" s="1" t="str">
        <f t="shared" si="402"/>
        <v>Фізична особа</v>
      </c>
      <c r="H2750" s="1" t="s">
        <v>20</v>
      </c>
      <c r="I2750" s="1" t="s">
        <v>20</v>
      </c>
      <c r="J2750" s="1" t="str">
        <f t="shared" si="401"/>
        <v>Закрито</v>
      </c>
      <c r="K2750" s="5">
        <v>45622</v>
      </c>
      <c r="L2750" s="1" t="s">
        <v>20</v>
      </c>
      <c r="M2750" s="1" t="s">
        <v>22</v>
      </c>
      <c r="N2750" s="5">
        <v>45622</v>
      </c>
    </row>
    <row r="2751" spans="1:14" x14ac:dyDescent="0.3">
      <c r="A2751" s="1" t="str">
        <f>"30_639-11/2024/В"</f>
        <v>30_639-11/2024/В</v>
      </c>
      <c r="B2751" s="6">
        <v>45622</v>
      </c>
      <c r="C2751" s="1" t="str">
        <f>"01974"</f>
        <v>01974</v>
      </c>
      <c r="D2751" s="2" t="str">
        <f>"Призначення пільги на оплату житла, комунальних послуг"</f>
        <v>Призначення пільги на оплату житла, комунальних послуг</v>
      </c>
      <c r="E2751" s="1" t="str">
        <f>"03193413"</f>
        <v>03193413</v>
      </c>
      <c r="F275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51" s="1" t="str">
        <f t="shared" si="402"/>
        <v>Фізична особа</v>
      </c>
      <c r="H2751" s="1" t="s">
        <v>20</v>
      </c>
      <c r="I2751" s="1" t="s">
        <v>20</v>
      </c>
      <c r="J2751" s="1" t="str">
        <f t="shared" si="401"/>
        <v>Закрито</v>
      </c>
      <c r="K2751" s="1" t="s">
        <v>20</v>
      </c>
      <c r="L2751" s="1" t="s">
        <v>20</v>
      </c>
      <c r="M2751" s="1" t="s">
        <v>22</v>
      </c>
      <c r="N2751" s="1" t="s">
        <v>20</v>
      </c>
    </row>
    <row r="2752" spans="1:14" x14ac:dyDescent="0.3">
      <c r="A2752" s="1" t="str">
        <f>"28_666-11/2024/К"</f>
        <v>28_666-11/2024/К</v>
      </c>
      <c r="B2752" s="6">
        <v>45622</v>
      </c>
      <c r="C2752" s="1" t="str">
        <f>"00155"</f>
        <v>00155</v>
      </c>
      <c r="D2752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52" s="1" t="str">
        <f>"03193413"</f>
        <v>03193413</v>
      </c>
      <c r="F275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52" s="1" t="str">
        <f t="shared" si="402"/>
        <v>Фізична особа</v>
      </c>
      <c r="H2752" s="1" t="s">
        <v>20</v>
      </c>
      <c r="I2752" s="1" t="s">
        <v>20</v>
      </c>
      <c r="J2752" s="1" t="str">
        <f t="shared" si="401"/>
        <v>Закрито</v>
      </c>
      <c r="K2752" s="5">
        <v>45631</v>
      </c>
      <c r="L2752" s="1" t="s">
        <v>20</v>
      </c>
      <c r="M2752" s="1" t="s">
        <v>22</v>
      </c>
      <c r="N2752" s="5">
        <v>45631</v>
      </c>
    </row>
    <row r="2753" spans="1:14" x14ac:dyDescent="0.3">
      <c r="A2753" s="1" t="str">
        <f>"1_6053/2129-11/2024/Г"</f>
        <v>1_6053/2129-11/2024/Г</v>
      </c>
      <c r="B2753" s="6">
        <v>45622</v>
      </c>
      <c r="C2753" s="1" t="str">
        <f>"00034"</f>
        <v>00034</v>
      </c>
      <c r="D2753" s="2" t="str">
        <f>"Реєстрація місця проживання"</f>
        <v>Реєстрація місця проживання</v>
      </c>
      <c r="E2753" s="1" t="s">
        <v>20</v>
      </c>
      <c r="F27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53" s="1" t="str">
        <f t="shared" si="402"/>
        <v>Фізична особа</v>
      </c>
      <c r="H2753" s="1" t="s">
        <v>20</v>
      </c>
      <c r="I2753" s="1" t="s">
        <v>20</v>
      </c>
      <c r="J2753" s="1" t="str">
        <f t="shared" si="401"/>
        <v>Закрито</v>
      </c>
      <c r="K2753" s="5">
        <v>45622</v>
      </c>
      <c r="L2753" s="1" t="str">
        <f>"75.7"</f>
        <v>75.7</v>
      </c>
      <c r="M2753" s="1" t="s">
        <v>22</v>
      </c>
      <c r="N2753" s="5">
        <v>45622</v>
      </c>
    </row>
    <row r="2754" spans="1:14" x14ac:dyDescent="0.3">
      <c r="A2754" s="1" t="str">
        <f>"1_6054/2129-11/2024/Г"</f>
        <v>1_6054/2129-11/2024/Г</v>
      </c>
      <c r="B2754" s="6">
        <v>45622</v>
      </c>
      <c r="C2754" s="1" t="str">
        <f>"00038"</f>
        <v>00038</v>
      </c>
      <c r="D275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54" s="1" t="s">
        <v>20</v>
      </c>
      <c r="F275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54" s="1" t="str">
        <f t="shared" si="402"/>
        <v>Фізична особа</v>
      </c>
      <c r="H2754" s="1" t="s">
        <v>20</v>
      </c>
      <c r="I2754" s="1" t="s">
        <v>20</v>
      </c>
      <c r="J2754" s="1" t="str">
        <f t="shared" si="401"/>
        <v>Закрито</v>
      </c>
      <c r="K2754" s="5">
        <v>45622</v>
      </c>
      <c r="L2754" s="1" t="s">
        <v>20</v>
      </c>
      <c r="M2754" s="1" t="s">
        <v>22</v>
      </c>
      <c r="N2754" s="5">
        <v>45622</v>
      </c>
    </row>
    <row r="2755" spans="1:14" x14ac:dyDescent="0.3">
      <c r="A2755" s="1" t="str">
        <f>"28_667-11/2024/К"</f>
        <v>28_667-11/2024/К</v>
      </c>
      <c r="B2755" s="6">
        <v>45622</v>
      </c>
      <c r="C2755" s="1" t="str">
        <f>"00038"</f>
        <v>00038</v>
      </c>
      <c r="D275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55" s="1" t="s">
        <v>20</v>
      </c>
      <c r="F275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55" s="1" t="str">
        <f t="shared" si="402"/>
        <v>Фізична особа</v>
      </c>
      <c r="H2755" s="1" t="s">
        <v>20</v>
      </c>
      <c r="I2755" s="1" t="s">
        <v>20</v>
      </c>
      <c r="J2755" s="1" t="str">
        <f t="shared" si="401"/>
        <v>Закрито</v>
      </c>
      <c r="K2755" s="5">
        <v>45622</v>
      </c>
      <c r="L2755" s="1" t="s">
        <v>20</v>
      </c>
      <c r="M2755" s="1" t="s">
        <v>22</v>
      </c>
      <c r="N2755" s="5">
        <v>45622</v>
      </c>
    </row>
    <row r="2756" spans="1:14" x14ac:dyDescent="0.3">
      <c r="A2756" s="1" t="str">
        <f>"7_265/2-11/2024/Б"</f>
        <v>7_265/2-11/2024/Б</v>
      </c>
      <c r="B2756" s="6">
        <v>45622</v>
      </c>
      <c r="C2756" s="1" t="str">
        <f>"00026"</f>
        <v>00026</v>
      </c>
      <c r="D2756" s="2" t="str">
        <f>"Вклеювання до паспорта громадянина України (зразка 1994 року) фотокартки при досягненні 25- і 45-річного віку"</f>
        <v>Вклеювання до паспорта громадянина України (зразка 1994 року) фотокартки при досягненні 25- і 45-річного віку</v>
      </c>
      <c r="E2756" s="1" t="s">
        <v>20</v>
      </c>
      <c r="F2756" s="1" t="str">
        <f>"Рогатинський районний відділ ДМС України в Івано-Франківській області"</f>
        <v>Рогатинський районний відділ ДМС України в Івано-Франківській області</v>
      </c>
      <c r="G2756" s="1" t="str">
        <f t="shared" si="402"/>
        <v>Фізична особа</v>
      </c>
      <c r="H2756" s="1" t="s">
        <v>20</v>
      </c>
      <c r="I2756" s="1" t="s">
        <v>20</v>
      </c>
      <c r="J2756" s="1" t="str">
        <f t="shared" si="401"/>
        <v>Закрито</v>
      </c>
      <c r="K2756" s="5">
        <v>45623</v>
      </c>
      <c r="L2756" s="1" t="s">
        <v>20</v>
      </c>
      <c r="M2756" s="1" t="s">
        <v>22</v>
      </c>
      <c r="N2756" s="5">
        <v>45623</v>
      </c>
    </row>
    <row r="2757" spans="1:14" x14ac:dyDescent="0.3">
      <c r="A2757" s="1" t="str">
        <f>"30_640-11/2024/П"</f>
        <v>30_640-11/2024/П</v>
      </c>
      <c r="B2757" s="6">
        <v>45622</v>
      </c>
      <c r="C2757" s="1" t="str">
        <f>"00038"</f>
        <v>00038</v>
      </c>
      <c r="D275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57" s="1" t="s">
        <v>20</v>
      </c>
      <c r="F275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57" s="1" t="str">
        <f t="shared" si="402"/>
        <v>Фізична особа</v>
      </c>
      <c r="H2757" s="1" t="s">
        <v>20</v>
      </c>
      <c r="I2757" s="1" t="s">
        <v>20</v>
      </c>
      <c r="J2757" s="1" t="str">
        <f t="shared" si="401"/>
        <v>Закрито</v>
      </c>
      <c r="K2757" s="5">
        <v>45622</v>
      </c>
      <c r="L2757" s="1" t="s">
        <v>20</v>
      </c>
      <c r="M2757" s="1" t="s">
        <v>22</v>
      </c>
      <c r="N2757" s="5">
        <v>45622</v>
      </c>
    </row>
    <row r="2758" spans="1:14" x14ac:dyDescent="0.3">
      <c r="A2758" s="1" t="str">
        <f>"4_1304/03193413-11/2024/Р"</f>
        <v>4_1304/03193413-11/2024/Р</v>
      </c>
      <c r="B2758" s="6">
        <v>45622</v>
      </c>
      <c r="C2758" s="1" t="str">
        <f>"00155"</f>
        <v>00155</v>
      </c>
      <c r="D2758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58" s="1" t="str">
        <f>"03193413"</f>
        <v>03193413</v>
      </c>
      <c r="F275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58" s="1" t="str">
        <f t="shared" si="402"/>
        <v>Фізична особа</v>
      </c>
      <c r="H2758" s="1" t="s">
        <v>20</v>
      </c>
      <c r="I2758" s="1" t="s">
        <v>20</v>
      </c>
      <c r="J2758" s="1" t="str">
        <f t="shared" si="401"/>
        <v>Закрито</v>
      </c>
      <c r="K2758" s="5">
        <v>45623</v>
      </c>
      <c r="L2758" s="1" t="s">
        <v>20</v>
      </c>
      <c r="M2758" s="1" t="s">
        <v>22</v>
      </c>
      <c r="N2758" s="5">
        <v>45623</v>
      </c>
    </row>
    <row r="2759" spans="1:14" x14ac:dyDescent="0.3">
      <c r="A2759" s="1" t="str">
        <f>"1_6055/2129-11/2024/Н"</f>
        <v>1_6055/2129-11/2024/Н</v>
      </c>
      <c r="B2759" s="6">
        <v>45622</v>
      </c>
      <c r="C2759" s="1" t="str">
        <f>"00038"</f>
        <v>00038</v>
      </c>
      <c r="D275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59" s="1" t="s">
        <v>20</v>
      </c>
      <c r="F275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59" s="1" t="str">
        <f t="shared" si="402"/>
        <v>Фізична особа</v>
      </c>
      <c r="H2759" s="1" t="s">
        <v>20</v>
      </c>
      <c r="I2759" s="1" t="s">
        <v>20</v>
      </c>
      <c r="J2759" s="1" t="str">
        <f t="shared" si="401"/>
        <v>Закрито</v>
      </c>
      <c r="K2759" s="5">
        <v>45622</v>
      </c>
      <c r="L2759" s="1" t="s">
        <v>20</v>
      </c>
      <c r="M2759" s="1" t="s">
        <v>22</v>
      </c>
      <c r="N2759" s="5">
        <v>45622</v>
      </c>
    </row>
    <row r="2760" spans="1:14" x14ac:dyDescent="0.3">
      <c r="A2760" s="1" t="str">
        <f>"30_641-11/2024/П"</f>
        <v>30_641-11/2024/П</v>
      </c>
      <c r="B2760" s="6">
        <v>45622</v>
      </c>
      <c r="C2760" s="1" t="str">
        <f>"33"</f>
        <v>33</v>
      </c>
      <c r="D2760" s="2" t="str">
        <f>"33 Довідки різного характеру"</f>
        <v>33 Довідки різного характеру</v>
      </c>
      <c r="E2760" s="1" t="s">
        <v>20</v>
      </c>
      <c r="F27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60" s="1" t="str">
        <f t="shared" si="402"/>
        <v>Фізична особа</v>
      </c>
      <c r="H2760" s="1" t="s">
        <v>20</v>
      </c>
      <c r="I2760" s="1" t="s">
        <v>20</v>
      </c>
      <c r="J2760" s="1" t="str">
        <f t="shared" si="401"/>
        <v>Закрито</v>
      </c>
      <c r="K2760" s="5">
        <v>45622</v>
      </c>
      <c r="L2760" s="1" t="s">
        <v>20</v>
      </c>
      <c r="M2760" s="1" t="s">
        <v>22</v>
      </c>
      <c r="N2760" s="5">
        <v>45622</v>
      </c>
    </row>
    <row r="2761" spans="1:14" x14ac:dyDescent="0.3">
      <c r="A2761" s="1" t="str">
        <f>"26_394-11/2024/І"</f>
        <v>26_394-11/2024/І</v>
      </c>
      <c r="B2761" s="6">
        <v>45622</v>
      </c>
      <c r="C2761" s="1" t="str">
        <f>"00155"</f>
        <v>00155</v>
      </c>
      <c r="D2761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61" s="1" t="str">
        <f>"03193413"</f>
        <v>03193413</v>
      </c>
      <c r="F276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61" s="1" t="str">
        <f t="shared" si="402"/>
        <v>Фізична особа</v>
      </c>
      <c r="H2761" s="1" t="s">
        <v>20</v>
      </c>
      <c r="I2761" s="1" t="s">
        <v>20</v>
      </c>
      <c r="J2761" s="1" t="str">
        <f>"На обробці в СНАП"</f>
        <v>На обробці в СНАП</v>
      </c>
      <c r="K2761" s="1" t="s">
        <v>20</v>
      </c>
      <c r="L2761" s="1" t="s">
        <v>20</v>
      </c>
      <c r="M2761" s="1" t="s">
        <v>22</v>
      </c>
      <c r="N2761" s="1" t="s">
        <v>20</v>
      </c>
    </row>
    <row r="2762" spans="1:14" x14ac:dyDescent="0.3">
      <c r="A2762" s="1" t="str">
        <f>"14_1032-11/2024/Д"</f>
        <v>14_1032-11/2024/Д</v>
      </c>
      <c r="B2762" s="6">
        <v>45622</v>
      </c>
      <c r="C2762" s="1" t="str">
        <f>"00155"</f>
        <v>00155</v>
      </c>
      <c r="D2762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62" s="1" t="str">
        <f>"03193413"</f>
        <v>03193413</v>
      </c>
      <c r="F276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62" s="1" t="str">
        <f t="shared" si="402"/>
        <v>Фізична особа</v>
      </c>
      <c r="H2762" s="1" t="s">
        <v>20</v>
      </c>
      <c r="I2762" s="1" t="s">
        <v>20</v>
      </c>
      <c r="J2762" s="1" t="str">
        <f>"На обробці в СНАП"</f>
        <v>На обробці в СНАП</v>
      </c>
      <c r="K2762" s="1" t="s">
        <v>20</v>
      </c>
      <c r="L2762" s="1" t="s">
        <v>20</v>
      </c>
      <c r="M2762" s="1" t="s">
        <v>22</v>
      </c>
      <c r="N2762" s="1" t="s">
        <v>20</v>
      </c>
    </row>
    <row r="2763" spans="1:14" x14ac:dyDescent="0.3">
      <c r="A2763" s="1" t="str">
        <f>"22_567-11/2024/Н"</f>
        <v>22_567-11/2024/Н</v>
      </c>
      <c r="B2763" s="6">
        <v>45622</v>
      </c>
      <c r="C2763" s="1" t="str">
        <f>"00038"</f>
        <v>00038</v>
      </c>
      <c r="D276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63" s="1" t="s">
        <v>20</v>
      </c>
      <c r="F276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63" s="1" t="str">
        <f t="shared" si="402"/>
        <v>Фізична особа</v>
      </c>
      <c r="H2763" s="1" t="s">
        <v>20</v>
      </c>
      <c r="I2763" s="1" t="s">
        <v>20</v>
      </c>
      <c r="J2763" s="1" t="str">
        <f>"Закрито"</f>
        <v>Закрито</v>
      </c>
      <c r="K2763" s="5">
        <v>45622</v>
      </c>
      <c r="L2763" s="1" t="s">
        <v>20</v>
      </c>
      <c r="M2763" s="1" t="s">
        <v>22</v>
      </c>
      <c r="N2763" s="5">
        <v>45622</v>
      </c>
    </row>
    <row r="2764" spans="1:14" x14ac:dyDescent="0.3">
      <c r="A2764" s="1" t="str">
        <f>"3_1433/4-11/2024/Л"</f>
        <v>3_1433/4-11/2024/Л</v>
      </c>
      <c r="B2764" s="6">
        <v>45622</v>
      </c>
      <c r="C2764" s="1" t="str">
        <f>"00060"</f>
        <v>00060</v>
      </c>
      <c r="D2764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764" s="1" t="s">
        <v>20</v>
      </c>
      <c r="F2764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764" s="1" t="str">
        <f t="shared" si="402"/>
        <v>Фізична особа</v>
      </c>
      <c r="H2764" s="1" t="s">
        <v>20</v>
      </c>
      <c r="I2764" s="1" t="s">
        <v>20</v>
      </c>
      <c r="J2764" s="1" t="str">
        <f>"Результат підготовлено СНАП"</f>
        <v>Результат підготовлено СНАП</v>
      </c>
      <c r="K2764" s="5">
        <v>45623</v>
      </c>
      <c r="L2764" s="1" t="str">
        <f>"151.4"</f>
        <v>151.4</v>
      </c>
      <c r="M2764" s="1" t="s">
        <v>22</v>
      </c>
      <c r="N2764" s="1" t="s">
        <v>20</v>
      </c>
    </row>
    <row r="2765" spans="1:14" x14ac:dyDescent="0.3">
      <c r="A2765" s="1" t="str">
        <f>"11_106-11/2024/Е"</f>
        <v>11_106-11/2024/Е</v>
      </c>
      <c r="B2765" s="6">
        <v>45622</v>
      </c>
      <c r="C2765" s="1" t="str">
        <f>"00037"</f>
        <v>00037</v>
      </c>
      <c r="D2765" s="2" t="str">
        <f>"Зняття з реєстрації місця проживання"</f>
        <v>Зняття з реєстрації місця проживання</v>
      </c>
      <c r="E2765" s="1" t="s">
        <v>20</v>
      </c>
      <c r="F276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65" s="1" t="str">
        <f t="shared" si="402"/>
        <v>Фізична особа</v>
      </c>
      <c r="H2765" s="1" t="s">
        <v>20</v>
      </c>
      <c r="I2765" s="1" t="s">
        <v>20</v>
      </c>
      <c r="J2765" s="1" t="str">
        <f t="shared" ref="J2765:J2771" si="403">"Закрито"</f>
        <v>Закрито</v>
      </c>
      <c r="K2765" s="5">
        <v>45622</v>
      </c>
      <c r="L2765" s="1" t="s">
        <v>20</v>
      </c>
      <c r="M2765" s="1" t="s">
        <v>22</v>
      </c>
      <c r="N2765" s="5">
        <v>45622</v>
      </c>
    </row>
    <row r="2766" spans="1:14" x14ac:dyDescent="0.3">
      <c r="A2766" s="1" t="str">
        <f>"11_107-11/2024/Е"</f>
        <v>11_107-11/2024/Е</v>
      </c>
      <c r="B2766" s="6">
        <v>45622</v>
      </c>
      <c r="C2766" s="1" t="str">
        <f>"00037"</f>
        <v>00037</v>
      </c>
      <c r="D2766" s="2" t="str">
        <f>"Зняття з реєстрації місця проживання"</f>
        <v>Зняття з реєстрації місця проживання</v>
      </c>
      <c r="E2766" s="1" t="s">
        <v>20</v>
      </c>
      <c r="F276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66" s="1" t="str">
        <f t="shared" si="402"/>
        <v>Фізична особа</v>
      </c>
      <c r="H2766" s="1" t="s">
        <v>20</v>
      </c>
      <c r="I2766" s="1" t="s">
        <v>20</v>
      </c>
      <c r="J2766" s="1" t="str">
        <f t="shared" si="403"/>
        <v>Закрито</v>
      </c>
      <c r="K2766" s="5">
        <v>45622</v>
      </c>
      <c r="L2766" s="1" t="s">
        <v>20</v>
      </c>
      <c r="M2766" s="1" t="s">
        <v>22</v>
      </c>
      <c r="N2766" s="5">
        <v>45622</v>
      </c>
    </row>
    <row r="2767" spans="1:14" x14ac:dyDescent="0.3">
      <c r="A2767" s="1" t="str">
        <f>"11_108-11/2024/Е"</f>
        <v>11_108-11/2024/Е</v>
      </c>
      <c r="B2767" s="6">
        <v>45622</v>
      </c>
      <c r="C2767" s="1" t="str">
        <f>"00034"</f>
        <v>00034</v>
      </c>
      <c r="D2767" s="2" t="str">
        <f>"Реєстрація місця проживання"</f>
        <v>Реєстрація місця проживання</v>
      </c>
      <c r="E2767" s="1" t="s">
        <v>20</v>
      </c>
      <c r="F276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67" s="1" t="str">
        <f t="shared" si="402"/>
        <v>Фізична особа</v>
      </c>
      <c r="H2767" s="1" t="s">
        <v>20</v>
      </c>
      <c r="I2767" s="1" t="s">
        <v>20</v>
      </c>
      <c r="J2767" s="1" t="str">
        <f t="shared" si="403"/>
        <v>Закрито</v>
      </c>
      <c r="K2767" s="5">
        <v>45622</v>
      </c>
      <c r="L2767" s="1" t="s">
        <v>20</v>
      </c>
      <c r="M2767" s="1" t="s">
        <v>22</v>
      </c>
      <c r="N2767" s="5">
        <v>45622</v>
      </c>
    </row>
    <row r="2768" spans="1:14" x14ac:dyDescent="0.3">
      <c r="A2768" s="1" t="str">
        <f>"11_109-11/2024/Е"</f>
        <v>11_109-11/2024/Е</v>
      </c>
      <c r="B2768" s="6">
        <v>45622</v>
      </c>
      <c r="C2768" s="1" t="str">
        <f>"00034"</f>
        <v>00034</v>
      </c>
      <c r="D2768" s="2" t="str">
        <f>"Реєстрація місця проживання"</f>
        <v>Реєстрація місця проживання</v>
      </c>
      <c r="E2768" s="1" t="s">
        <v>20</v>
      </c>
      <c r="F276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68" s="1" t="str">
        <f t="shared" si="402"/>
        <v>Фізична особа</v>
      </c>
      <c r="H2768" s="1" t="s">
        <v>20</v>
      </c>
      <c r="I2768" s="1" t="s">
        <v>20</v>
      </c>
      <c r="J2768" s="1" t="str">
        <f t="shared" si="403"/>
        <v>Закрито</v>
      </c>
      <c r="K2768" s="5">
        <v>45622</v>
      </c>
      <c r="L2768" s="1" t="s">
        <v>20</v>
      </c>
      <c r="M2768" s="1" t="s">
        <v>22</v>
      </c>
      <c r="N2768" s="5">
        <v>45622</v>
      </c>
    </row>
    <row r="2769" spans="1:14" x14ac:dyDescent="0.3">
      <c r="A2769" s="1" t="str">
        <f>"11_110-11/2024/Е"</f>
        <v>11_110-11/2024/Е</v>
      </c>
      <c r="B2769" s="6">
        <v>45622</v>
      </c>
      <c r="C2769" s="1" t="str">
        <f>"00038"</f>
        <v>00038</v>
      </c>
      <c r="D276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69" s="1" t="s">
        <v>20</v>
      </c>
      <c r="F276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69" s="1" t="str">
        <f t="shared" si="402"/>
        <v>Фізична особа</v>
      </c>
      <c r="H2769" s="1" t="s">
        <v>20</v>
      </c>
      <c r="I2769" s="1" t="s">
        <v>20</v>
      </c>
      <c r="J2769" s="1" t="str">
        <f t="shared" si="403"/>
        <v>Закрито</v>
      </c>
      <c r="K2769" s="5">
        <v>45622</v>
      </c>
      <c r="L2769" s="1" t="s">
        <v>20</v>
      </c>
      <c r="M2769" s="1" t="s">
        <v>22</v>
      </c>
      <c r="N2769" s="5">
        <v>45622</v>
      </c>
    </row>
    <row r="2770" spans="1:14" x14ac:dyDescent="0.3">
      <c r="A2770" s="1" t="str">
        <f>"4_1305/03193413-11/2024/С"</f>
        <v>4_1305/03193413-11/2024/С</v>
      </c>
      <c r="B2770" s="6">
        <v>45622</v>
      </c>
      <c r="C2770" s="1" t="str">
        <f>"00096"</f>
        <v>00096</v>
      </c>
      <c r="D2770" s="2" t="str">
        <f>"Призначення державної соціальної допомоги особам, які не мають права на пенсію, та особам з інвалідністю"</f>
        <v>Призначення державної соціальної допомоги особам, які не мають права на пенсію, та особам з інвалідністю</v>
      </c>
      <c r="E2770" s="1" t="str">
        <f>"03193413"</f>
        <v>03193413</v>
      </c>
      <c r="F277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70" s="1" t="str">
        <f t="shared" si="402"/>
        <v>Фізична особа</v>
      </c>
      <c r="H2770" s="1" t="s">
        <v>20</v>
      </c>
      <c r="I2770" s="1" t="s">
        <v>20</v>
      </c>
      <c r="J2770" s="1" t="str">
        <f t="shared" si="403"/>
        <v>Закрито</v>
      </c>
      <c r="K2770" s="5">
        <v>45623</v>
      </c>
      <c r="L2770" s="1" t="s">
        <v>20</v>
      </c>
      <c r="M2770" s="1" t="s">
        <v>22</v>
      </c>
      <c r="N2770" s="5">
        <v>45623</v>
      </c>
    </row>
    <row r="2771" spans="1:14" x14ac:dyDescent="0.3">
      <c r="A2771" s="1" t="str">
        <f>"5_507-11/2024/Ж"</f>
        <v>5_507-11/2024/Ж</v>
      </c>
      <c r="B2771" s="6">
        <v>45622</v>
      </c>
      <c r="C2771" s="1" t="str">
        <f>"00155"</f>
        <v>00155</v>
      </c>
      <c r="D2771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71" s="1" t="str">
        <f>"03193413"</f>
        <v>03193413</v>
      </c>
      <c r="F277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71" s="1" t="str">
        <f t="shared" si="402"/>
        <v>Фізична особа</v>
      </c>
      <c r="H2771" s="1" t="s">
        <v>20</v>
      </c>
      <c r="I2771" s="1" t="s">
        <v>20</v>
      </c>
      <c r="J2771" s="1" t="str">
        <f t="shared" si="403"/>
        <v>Закрито</v>
      </c>
      <c r="K2771" s="5">
        <v>45629</v>
      </c>
      <c r="L2771" s="1" t="s">
        <v>20</v>
      </c>
      <c r="M2771" s="1" t="s">
        <v>22</v>
      </c>
      <c r="N2771" s="5">
        <v>45629</v>
      </c>
    </row>
    <row r="2772" spans="1:14" x14ac:dyDescent="0.3">
      <c r="A2772" s="1" t="str">
        <f>"18_658-11/2024/С"</f>
        <v>18_658-11/2024/С</v>
      </c>
      <c r="B2772" s="6">
        <v>45622</v>
      </c>
      <c r="C2772" s="1" t="str">
        <f>"01974"</f>
        <v>01974</v>
      </c>
      <c r="D2772" s="2" t="str">
        <f>"Призначення пільги на оплату житла, комунальних послуг"</f>
        <v>Призначення пільги на оплату житла, комунальних послуг</v>
      </c>
      <c r="E2772" s="1" t="str">
        <f>"03193413"</f>
        <v>03193413</v>
      </c>
      <c r="F277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72" s="1" t="str">
        <f t="shared" si="402"/>
        <v>Фізична особа</v>
      </c>
      <c r="H2772" s="1" t="s">
        <v>20</v>
      </c>
      <c r="I2772" s="1" t="s">
        <v>20</v>
      </c>
      <c r="J2772" s="1" t="str">
        <f>"На обробці в СНАП"</f>
        <v>На обробці в СНАП</v>
      </c>
      <c r="K2772" s="1" t="s">
        <v>20</v>
      </c>
      <c r="L2772" s="1" t="s">
        <v>20</v>
      </c>
      <c r="M2772" s="1" t="s">
        <v>22</v>
      </c>
      <c r="N2772" s="1" t="s">
        <v>20</v>
      </c>
    </row>
    <row r="2773" spans="1:14" x14ac:dyDescent="0.3">
      <c r="A2773" s="1" t="str">
        <f>"14_1033-11/2024/З"</f>
        <v>14_1033-11/2024/З</v>
      </c>
      <c r="B2773" s="6">
        <v>45622</v>
      </c>
      <c r="C2773" s="1" t="str">
        <f>"00038"</f>
        <v>00038</v>
      </c>
      <c r="D277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73" s="1" t="s">
        <v>20</v>
      </c>
      <c r="F2773" s="1" t="str">
        <f t="shared" ref="F2773:F2780" si="404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73" s="1" t="str">
        <f t="shared" ref="G2773:G2789" si="405">"Фізична особа"</f>
        <v>Фізична особа</v>
      </c>
      <c r="H2773" s="1" t="s">
        <v>20</v>
      </c>
      <c r="I2773" s="1" t="s">
        <v>20</v>
      </c>
      <c r="J2773" s="1" t="str">
        <f t="shared" ref="J2773:J2780" si="406">"Закрито"</f>
        <v>Закрито</v>
      </c>
      <c r="K2773" s="5">
        <v>45622</v>
      </c>
      <c r="L2773" s="1" t="s">
        <v>20</v>
      </c>
      <c r="M2773" s="1" t="s">
        <v>22</v>
      </c>
      <c r="N2773" s="5">
        <v>45622</v>
      </c>
    </row>
    <row r="2774" spans="1:14" x14ac:dyDescent="0.3">
      <c r="A2774" s="1" t="str">
        <f>"18_659-11/2024/С"</f>
        <v>18_659-11/2024/С</v>
      </c>
      <c r="B2774" s="6">
        <v>45622</v>
      </c>
      <c r="C2774" s="1" t="str">
        <f>"00038"</f>
        <v>00038</v>
      </c>
      <c r="D277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74" s="1" t="s">
        <v>20</v>
      </c>
      <c r="F2774" s="1" t="str">
        <f t="shared" si="404"/>
        <v>Центр надання адміністративних послуг Рогатинської міської ради</v>
      </c>
      <c r="G2774" s="1" t="str">
        <f t="shared" si="405"/>
        <v>Фізична особа</v>
      </c>
      <c r="H2774" s="1" t="s">
        <v>20</v>
      </c>
      <c r="I2774" s="1" t="s">
        <v>20</v>
      </c>
      <c r="J2774" s="1" t="str">
        <f t="shared" si="406"/>
        <v>Закрито</v>
      </c>
      <c r="K2774" s="5">
        <v>45622</v>
      </c>
      <c r="L2774" s="1" t="s">
        <v>20</v>
      </c>
      <c r="M2774" s="1" t="s">
        <v>22</v>
      </c>
      <c r="N2774" s="5">
        <v>45622</v>
      </c>
    </row>
    <row r="2775" spans="1:14" x14ac:dyDescent="0.3">
      <c r="A2775" s="1" t="str">
        <f>"19_534-11/2024/С"</f>
        <v>19_534-11/2024/С</v>
      </c>
      <c r="B2775" s="6">
        <v>45622</v>
      </c>
      <c r="C2775" s="1" t="str">
        <f>"33"</f>
        <v>33</v>
      </c>
      <c r="D2775" s="2" t="str">
        <f>"33 Довідки різного характеру"</f>
        <v>33 Довідки різного характеру</v>
      </c>
      <c r="E2775" s="1" t="s">
        <v>20</v>
      </c>
      <c r="F2775" s="1" t="str">
        <f t="shared" si="404"/>
        <v>Центр надання адміністративних послуг Рогатинської міської ради</v>
      </c>
      <c r="G2775" s="1" t="str">
        <f t="shared" si="405"/>
        <v>Фізична особа</v>
      </c>
      <c r="H2775" s="1" t="s">
        <v>20</v>
      </c>
      <c r="I2775" s="1" t="s">
        <v>20</v>
      </c>
      <c r="J2775" s="1" t="str">
        <f t="shared" si="406"/>
        <v>Закрито</v>
      </c>
      <c r="K2775" s="5">
        <v>45622</v>
      </c>
      <c r="L2775" s="1" t="s">
        <v>20</v>
      </c>
      <c r="M2775" s="1" t="s">
        <v>22</v>
      </c>
      <c r="N2775" s="5">
        <v>45622</v>
      </c>
    </row>
    <row r="2776" spans="1:14" x14ac:dyDescent="0.3">
      <c r="A2776" s="1" t="str">
        <f>"18_660-11/2024/С"</f>
        <v>18_660-11/2024/С</v>
      </c>
      <c r="B2776" s="6">
        <v>45622</v>
      </c>
      <c r="C2776" s="1" t="str">
        <f>"00038"</f>
        <v>00038</v>
      </c>
      <c r="D277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76" s="1" t="s">
        <v>20</v>
      </c>
      <c r="F2776" s="1" t="str">
        <f t="shared" si="404"/>
        <v>Центр надання адміністративних послуг Рогатинської міської ради</v>
      </c>
      <c r="G2776" s="1" t="str">
        <f t="shared" si="405"/>
        <v>Фізична особа</v>
      </c>
      <c r="H2776" s="1" t="s">
        <v>20</v>
      </c>
      <c r="I2776" s="1" t="s">
        <v>20</v>
      </c>
      <c r="J2776" s="1" t="str">
        <f t="shared" si="406"/>
        <v>Закрито</v>
      </c>
      <c r="K2776" s="5">
        <v>45622</v>
      </c>
      <c r="L2776" s="1" t="s">
        <v>20</v>
      </c>
      <c r="M2776" s="1" t="s">
        <v>22</v>
      </c>
      <c r="N2776" s="5">
        <v>45622</v>
      </c>
    </row>
    <row r="2777" spans="1:14" x14ac:dyDescent="0.3">
      <c r="A2777" s="1" t="str">
        <f>"18_661-11/2024/С"</f>
        <v>18_661-11/2024/С</v>
      </c>
      <c r="B2777" s="6">
        <v>45622</v>
      </c>
      <c r="C2777" s="1" t="str">
        <f>"00038"</f>
        <v>00038</v>
      </c>
      <c r="D277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77" s="1" t="s">
        <v>20</v>
      </c>
      <c r="F2777" s="1" t="str">
        <f t="shared" si="404"/>
        <v>Центр надання адміністративних послуг Рогатинської міської ради</v>
      </c>
      <c r="G2777" s="1" t="str">
        <f t="shared" si="405"/>
        <v>Фізична особа</v>
      </c>
      <c r="H2777" s="1" t="s">
        <v>20</v>
      </c>
      <c r="I2777" s="1" t="s">
        <v>20</v>
      </c>
      <c r="J2777" s="1" t="str">
        <f t="shared" si="406"/>
        <v>Закрито</v>
      </c>
      <c r="K2777" s="5">
        <v>45622</v>
      </c>
      <c r="L2777" s="1" t="s">
        <v>20</v>
      </c>
      <c r="M2777" s="1" t="s">
        <v>22</v>
      </c>
      <c r="N2777" s="5">
        <v>45622</v>
      </c>
    </row>
    <row r="2778" spans="1:14" x14ac:dyDescent="0.3">
      <c r="A2778" s="1" t="str">
        <f>"15_352-11/2024/Р"</f>
        <v>15_352-11/2024/Р</v>
      </c>
      <c r="B2778" s="6">
        <v>45622</v>
      </c>
      <c r="C2778" s="1" t="str">
        <f>"02022"</f>
        <v>02022</v>
      </c>
      <c r="D2778" s="2" t="str">
        <f>"Видача довідки про членство в особистому селянському господарстві"</f>
        <v>Видача довідки про членство в особистому селянському господарстві</v>
      </c>
      <c r="E2778" s="1" t="s">
        <v>20</v>
      </c>
      <c r="F2778" s="1" t="str">
        <f t="shared" si="404"/>
        <v>Центр надання адміністративних послуг Рогатинської міської ради</v>
      </c>
      <c r="G2778" s="1" t="str">
        <f t="shared" si="405"/>
        <v>Фізична особа</v>
      </c>
      <c r="H2778" s="1" t="s">
        <v>20</v>
      </c>
      <c r="I2778" s="1" t="s">
        <v>20</v>
      </c>
      <c r="J2778" s="1" t="str">
        <f t="shared" si="406"/>
        <v>Закрито</v>
      </c>
      <c r="K2778" s="5">
        <v>45622</v>
      </c>
      <c r="L2778" s="1" t="s">
        <v>20</v>
      </c>
      <c r="M2778" s="1" t="s">
        <v>22</v>
      </c>
      <c r="N2778" s="5">
        <v>45622</v>
      </c>
    </row>
    <row r="2779" spans="1:14" x14ac:dyDescent="0.3">
      <c r="A2779" s="1" t="str">
        <f>"15_353-11/2024/М"</f>
        <v>15_353-11/2024/М</v>
      </c>
      <c r="B2779" s="6">
        <v>45622</v>
      </c>
      <c r="C2779" s="1" t="str">
        <f>"00038"</f>
        <v>00038</v>
      </c>
      <c r="D277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79" s="1" t="s">
        <v>20</v>
      </c>
      <c r="F2779" s="1" t="str">
        <f t="shared" si="404"/>
        <v>Центр надання адміністративних послуг Рогатинської міської ради</v>
      </c>
      <c r="G2779" s="1" t="str">
        <f t="shared" si="405"/>
        <v>Фізична особа</v>
      </c>
      <c r="H2779" s="1" t="s">
        <v>20</v>
      </c>
      <c r="I2779" s="1" t="s">
        <v>20</v>
      </c>
      <c r="J2779" s="1" t="str">
        <f t="shared" si="406"/>
        <v>Закрито</v>
      </c>
      <c r="K2779" s="5">
        <v>45622</v>
      </c>
      <c r="L2779" s="1" t="s">
        <v>20</v>
      </c>
      <c r="M2779" s="1" t="s">
        <v>22</v>
      </c>
      <c r="N2779" s="5">
        <v>45622</v>
      </c>
    </row>
    <row r="2780" spans="1:14" x14ac:dyDescent="0.3">
      <c r="A2780" s="1" t="str">
        <f>"18_662-11/2024/С"</f>
        <v>18_662-11/2024/С</v>
      </c>
      <c r="B2780" s="6">
        <v>45622</v>
      </c>
      <c r="C2780" s="1" t="str">
        <f>"00038"</f>
        <v>00038</v>
      </c>
      <c r="D278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80" s="1" t="s">
        <v>20</v>
      </c>
      <c r="F2780" s="1" t="str">
        <f t="shared" si="404"/>
        <v>Центр надання адміністративних послуг Рогатинської міської ради</v>
      </c>
      <c r="G2780" s="1" t="str">
        <f t="shared" si="405"/>
        <v>Фізична особа</v>
      </c>
      <c r="H2780" s="1" t="s">
        <v>20</v>
      </c>
      <c r="I2780" s="1" t="s">
        <v>20</v>
      </c>
      <c r="J2780" s="1" t="str">
        <f t="shared" si="406"/>
        <v>Закрито</v>
      </c>
      <c r="K2780" s="5">
        <v>45622</v>
      </c>
      <c r="L2780" s="1" t="s">
        <v>20</v>
      </c>
      <c r="M2780" s="1" t="s">
        <v>22</v>
      </c>
      <c r="N2780" s="5">
        <v>45622</v>
      </c>
    </row>
    <row r="2781" spans="1:14" x14ac:dyDescent="0.3">
      <c r="A2781" s="1" t="str">
        <f>"18_663-11/2024/С"</f>
        <v>18_663-11/2024/С</v>
      </c>
      <c r="B2781" s="6">
        <v>45622</v>
      </c>
      <c r="C2781" s="1" t="str">
        <f>"00155"</f>
        <v>00155</v>
      </c>
      <c r="D2781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81" s="1" t="str">
        <f>"03193413"</f>
        <v>03193413</v>
      </c>
      <c r="F278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81" s="1" t="str">
        <f t="shared" si="405"/>
        <v>Фізична особа</v>
      </c>
      <c r="H2781" s="1" t="s">
        <v>20</v>
      </c>
      <c r="I2781" s="1" t="s">
        <v>20</v>
      </c>
      <c r="J2781" s="1" t="str">
        <f>"На обробці в СНАП"</f>
        <v>На обробці в СНАП</v>
      </c>
      <c r="K2781" s="1" t="s">
        <v>20</v>
      </c>
      <c r="L2781" s="1" t="s">
        <v>20</v>
      </c>
      <c r="M2781" s="1" t="s">
        <v>22</v>
      </c>
      <c r="N2781" s="1" t="s">
        <v>20</v>
      </c>
    </row>
    <row r="2782" spans="1:14" x14ac:dyDescent="0.3">
      <c r="A2782" s="1" t="str">
        <f>"3_1434/4-11/2024/Д"</f>
        <v>3_1434/4-11/2024/Д</v>
      </c>
      <c r="B2782" s="6">
        <v>45622</v>
      </c>
      <c r="C2782" s="1" t="str">
        <f>"00060"</f>
        <v>00060</v>
      </c>
      <c r="D2782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782" s="1" t="s">
        <v>20</v>
      </c>
      <c r="F2782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782" s="1" t="str">
        <f t="shared" si="405"/>
        <v>Фізична особа</v>
      </c>
      <c r="H2782" s="1" t="s">
        <v>20</v>
      </c>
      <c r="I2782" s="1" t="s">
        <v>20</v>
      </c>
      <c r="J2782" s="1" t="str">
        <f>"Результат підготовлено СНАП"</f>
        <v>Результат підготовлено СНАП</v>
      </c>
      <c r="K2782" s="5">
        <v>45623</v>
      </c>
      <c r="L2782" s="1" t="str">
        <f>"151.4"</f>
        <v>151.4</v>
      </c>
      <c r="M2782" s="1" t="s">
        <v>22</v>
      </c>
      <c r="N2782" s="1" t="s">
        <v>20</v>
      </c>
    </row>
    <row r="2783" spans="1:14" x14ac:dyDescent="0.3">
      <c r="A2783" s="1" t="str">
        <f>"9_1721/04054323-11/2024/М"</f>
        <v>9_1721/04054323-11/2024/М</v>
      </c>
      <c r="B2783" s="6">
        <v>45622</v>
      </c>
      <c r="C2783" s="1" t="str">
        <f>"01-1"</f>
        <v>01-1</v>
      </c>
      <c r="D2783" s="2" t="s">
        <v>0</v>
      </c>
      <c r="E2783" s="1" t="str">
        <f>"04054323"</f>
        <v>04054323</v>
      </c>
      <c r="F2783" s="1" t="str">
        <f>"Рогатинська міська рада"</f>
        <v>Рогатинська міська рада</v>
      </c>
      <c r="G2783" s="1" t="str">
        <f t="shared" si="405"/>
        <v>Фізична особа</v>
      </c>
      <c r="H2783" s="1" t="s">
        <v>20</v>
      </c>
      <c r="I2783" s="1" t="s">
        <v>20</v>
      </c>
      <c r="J2783" s="1" t="str">
        <f>"На обробці в СНАП"</f>
        <v>На обробці в СНАП</v>
      </c>
      <c r="K2783" s="1" t="s">
        <v>20</v>
      </c>
      <c r="L2783" s="1" t="s">
        <v>20</v>
      </c>
      <c r="M2783" s="1" t="s">
        <v>22</v>
      </c>
      <c r="N2783" s="1" t="s">
        <v>20</v>
      </c>
    </row>
    <row r="2784" spans="1:14" x14ac:dyDescent="0.3">
      <c r="A2784" s="1" t="str">
        <f>"18_664-11/2024/С"</f>
        <v>18_664-11/2024/С</v>
      </c>
      <c r="B2784" s="6">
        <v>45622</v>
      </c>
      <c r="C2784" s="1" t="str">
        <f>"00064"</f>
        <v>00064</v>
      </c>
      <c r="D2784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784" s="1" t="s">
        <v>20</v>
      </c>
      <c r="F2784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784" s="1" t="str">
        <f t="shared" si="405"/>
        <v>Фізична особа</v>
      </c>
      <c r="H2784" s="1" t="s">
        <v>20</v>
      </c>
      <c r="I2784" s="1" t="s">
        <v>20</v>
      </c>
      <c r="J2784" s="1" t="str">
        <f>"Закрито"</f>
        <v>Закрито</v>
      </c>
      <c r="K2784" s="5">
        <v>45622</v>
      </c>
      <c r="L2784" s="1" t="s">
        <v>20</v>
      </c>
      <c r="M2784" s="1" t="s">
        <v>22</v>
      </c>
      <c r="N2784" s="5">
        <v>45622</v>
      </c>
    </row>
    <row r="2785" spans="1:14" x14ac:dyDescent="0.3">
      <c r="A2785" s="1" t="str">
        <f>"9_574-11/2024/Е"</f>
        <v>9_574-11/2024/Е</v>
      </c>
      <c r="B2785" s="6">
        <v>45622</v>
      </c>
      <c r="C2785" s="1" t="str">
        <f>"00038"</f>
        <v>00038</v>
      </c>
      <c r="D278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85" s="1" t="s">
        <v>20</v>
      </c>
      <c r="F278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85" s="1" t="str">
        <f t="shared" si="405"/>
        <v>Фізична особа</v>
      </c>
      <c r="H2785" s="1" t="s">
        <v>20</v>
      </c>
      <c r="I2785" s="1" t="s">
        <v>20</v>
      </c>
      <c r="J2785" s="1" t="str">
        <f>"Закрито"</f>
        <v>Закрито</v>
      </c>
      <c r="K2785" s="5">
        <v>45622</v>
      </c>
      <c r="L2785" s="1" t="s">
        <v>20</v>
      </c>
      <c r="M2785" s="1" t="s">
        <v>22</v>
      </c>
      <c r="N2785" s="5">
        <v>45622</v>
      </c>
    </row>
    <row r="2786" spans="1:14" x14ac:dyDescent="0.3">
      <c r="A2786" s="1" t="str">
        <f>"9_1722/04054323-11/2024/М"</f>
        <v>9_1722/04054323-11/2024/М</v>
      </c>
      <c r="B2786" s="6">
        <v>45622</v>
      </c>
      <c r="C2786" s="1" t="str">
        <f>"01"</f>
        <v>01</v>
      </c>
      <c r="D2786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2786" s="1" t="str">
        <f>"04054323"</f>
        <v>04054323</v>
      </c>
      <c r="F2786" s="1" t="str">
        <f>"Рогатинська міська рада"</f>
        <v>Рогатинська міська рада</v>
      </c>
      <c r="G2786" s="1" t="str">
        <f t="shared" si="405"/>
        <v>Фізична особа</v>
      </c>
      <c r="H2786" s="1" t="s">
        <v>20</v>
      </c>
      <c r="I2786" s="1" t="s">
        <v>20</v>
      </c>
      <c r="J2786" s="1" t="str">
        <f>"На обробці в СНАП"</f>
        <v>На обробці в СНАП</v>
      </c>
      <c r="K2786" s="1" t="s">
        <v>20</v>
      </c>
      <c r="L2786" s="1" t="s">
        <v>20</v>
      </c>
      <c r="M2786" s="1" t="s">
        <v>22</v>
      </c>
      <c r="N2786" s="1" t="s">
        <v>20</v>
      </c>
    </row>
    <row r="2787" spans="1:14" x14ac:dyDescent="0.3">
      <c r="A2787" s="1" t="str">
        <f>"18_665-11/2024/Д"</f>
        <v>18_665-11/2024/Д</v>
      </c>
      <c r="B2787" s="6">
        <v>45622</v>
      </c>
      <c r="C2787" s="1" t="str">
        <f>"00038"</f>
        <v>00038</v>
      </c>
      <c r="D278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87" s="1" t="s">
        <v>20</v>
      </c>
      <c r="F278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87" s="1" t="str">
        <f t="shared" si="405"/>
        <v>Фізична особа</v>
      </c>
      <c r="H2787" s="1" t="s">
        <v>20</v>
      </c>
      <c r="I2787" s="1" t="s">
        <v>20</v>
      </c>
      <c r="J2787" s="1" t="str">
        <f>"Закрито"</f>
        <v>Закрито</v>
      </c>
      <c r="K2787" s="5">
        <v>45622</v>
      </c>
      <c r="L2787" s="1" t="s">
        <v>20</v>
      </c>
      <c r="M2787" s="1" t="s">
        <v>22</v>
      </c>
      <c r="N2787" s="5">
        <v>45622</v>
      </c>
    </row>
    <row r="2788" spans="1:14" x14ac:dyDescent="0.3">
      <c r="A2788" s="1" t="str">
        <f>"18_666-11/2024/Д"</f>
        <v>18_666-11/2024/Д</v>
      </c>
      <c r="B2788" s="6">
        <v>45622</v>
      </c>
      <c r="C2788" s="1" t="str">
        <f>"00038"</f>
        <v>00038</v>
      </c>
      <c r="D278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88" s="1" t="s">
        <v>20</v>
      </c>
      <c r="F27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88" s="1" t="str">
        <f t="shared" si="405"/>
        <v>Фізична особа</v>
      </c>
      <c r="H2788" s="1" t="s">
        <v>20</v>
      </c>
      <c r="I2788" s="1" t="s">
        <v>20</v>
      </c>
      <c r="J2788" s="1" t="str">
        <f>"Закрито"</f>
        <v>Закрито</v>
      </c>
      <c r="K2788" s="5">
        <v>45622</v>
      </c>
      <c r="L2788" s="1" t="s">
        <v>20</v>
      </c>
      <c r="M2788" s="1" t="s">
        <v>22</v>
      </c>
      <c r="N2788" s="5">
        <v>45622</v>
      </c>
    </row>
    <row r="2789" spans="1:14" x14ac:dyDescent="0.3">
      <c r="A2789" s="1" t="str">
        <f>"33_430-11/2024/Ф"</f>
        <v>33_430-11/2024/Ф</v>
      </c>
      <c r="B2789" s="6">
        <v>45622</v>
      </c>
      <c r="C2789" s="1" t="str">
        <f>"00155"</f>
        <v>00155</v>
      </c>
      <c r="D2789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789" s="1" t="str">
        <f>"03193413"</f>
        <v>03193413</v>
      </c>
      <c r="F278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789" s="1" t="str">
        <f t="shared" si="405"/>
        <v>Фізична особа</v>
      </c>
      <c r="H2789" s="1" t="s">
        <v>20</v>
      </c>
      <c r="I2789" s="1" t="s">
        <v>20</v>
      </c>
      <c r="J2789" s="1" t="str">
        <f>"На обробці в СНАП"</f>
        <v>На обробці в СНАП</v>
      </c>
      <c r="K2789" s="1" t="s">
        <v>20</v>
      </c>
      <c r="L2789" s="1" t="s">
        <v>20</v>
      </c>
      <c r="M2789" s="1" t="s">
        <v>22</v>
      </c>
      <c r="N2789" s="1" t="s">
        <v>20</v>
      </c>
    </row>
    <row r="2790" spans="1:14" x14ac:dyDescent="0.3">
      <c r="A2790" s="1" t="str">
        <f>"9_1723/04054323-11/2024/Т"</f>
        <v>9_1723/04054323-11/2024/Т</v>
      </c>
      <c r="B2790" s="6">
        <v>45622</v>
      </c>
      <c r="C2790" s="1" t="str">
        <f>"01-1"</f>
        <v>01-1</v>
      </c>
      <c r="D2790" s="2" t="s">
        <v>0</v>
      </c>
      <c r="E2790" s="1" t="str">
        <f>"04054323"</f>
        <v>04054323</v>
      </c>
      <c r="F2790" s="1" t="str">
        <f>"Рогатинська міська рада"</f>
        <v>Рогатинська міська рада</v>
      </c>
      <c r="G2790" s="1" t="s">
        <v>21</v>
      </c>
      <c r="H2790" s="1" t="s">
        <v>20</v>
      </c>
      <c r="I2790" s="1" t="s">
        <v>20</v>
      </c>
      <c r="J2790" s="1" t="str">
        <f>"На обробці в СНАП"</f>
        <v>На обробці в СНАП</v>
      </c>
      <c r="K2790" s="1" t="s">
        <v>20</v>
      </c>
      <c r="L2790" s="1" t="s">
        <v>20</v>
      </c>
      <c r="M2790" s="1" t="s">
        <v>22</v>
      </c>
      <c r="N2790" s="1" t="s">
        <v>20</v>
      </c>
    </row>
    <row r="2791" spans="1:14" x14ac:dyDescent="0.3">
      <c r="A2791" s="1" t="str">
        <f>"1_6056/2129-11/2024/Г"</f>
        <v>1_6056/2129-11/2024/Г</v>
      </c>
      <c r="B2791" s="6">
        <v>45622</v>
      </c>
      <c r="C2791" s="1" t="str">
        <f>"00038"</f>
        <v>00038</v>
      </c>
      <c r="D279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91" s="1" t="s">
        <v>20</v>
      </c>
      <c r="F279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91" s="1" t="str">
        <f t="shared" ref="G2791:G2797" si="407">"Фізична особа"</f>
        <v>Фізична особа</v>
      </c>
      <c r="H2791" s="1" t="s">
        <v>20</v>
      </c>
      <c r="I2791" s="1" t="s">
        <v>20</v>
      </c>
      <c r="J2791" s="1" t="str">
        <f>"Закрито"</f>
        <v>Закрито</v>
      </c>
      <c r="K2791" s="5">
        <v>45622</v>
      </c>
      <c r="L2791" s="1" t="s">
        <v>20</v>
      </c>
      <c r="M2791" s="1" t="s">
        <v>22</v>
      </c>
      <c r="N2791" s="5">
        <v>45622</v>
      </c>
    </row>
    <row r="2792" spans="1:14" x14ac:dyDescent="0.3">
      <c r="A2792" s="1" t="str">
        <f>"9_1724/04054323-11/2024/Т"</f>
        <v>9_1724/04054323-11/2024/Т</v>
      </c>
      <c r="B2792" s="6">
        <v>45622</v>
      </c>
      <c r="C2792" s="1" t="str">
        <f>"01"</f>
        <v>01</v>
      </c>
      <c r="D2792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2792" s="1" t="str">
        <f>"04054323"</f>
        <v>04054323</v>
      </c>
      <c r="F2792" s="1" t="str">
        <f>"Рогатинська міська рада"</f>
        <v>Рогатинська міська рада</v>
      </c>
      <c r="G2792" s="1" t="str">
        <f t="shared" si="407"/>
        <v>Фізична особа</v>
      </c>
      <c r="H2792" s="1" t="s">
        <v>20</v>
      </c>
      <c r="I2792" s="1" t="s">
        <v>20</v>
      </c>
      <c r="J2792" s="1" t="str">
        <f>"На обробці в СНАП"</f>
        <v>На обробці в СНАП</v>
      </c>
      <c r="K2792" s="1" t="s">
        <v>20</v>
      </c>
      <c r="L2792" s="1" t="s">
        <v>20</v>
      </c>
      <c r="M2792" s="1" t="s">
        <v>22</v>
      </c>
      <c r="N2792" s="1" t="s">
        <v>20</v>
      </c>
    </row>
    <row r="2793" spans="1:14" x14ac:dyDescent="0.3">
      <c r="A2793" s="1" t="str">
        <f>"1_6057/2129-11/2024/Р"</f>
        <v>1_6057/2129-11/2024/Р</v>
      </c>
      <c r="B2793" s="6">
        <v>45622</v>
      </c>
      <c r="C2793" s="1" t="str">
        <f>"00038"</f>
        <v>00038</v>
      </c>
      <c r="D279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93" s="1" t="s">
        <v>20</v>
      </c>
      <c r="F279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93" s="1" t="str">
        <f t="shared" si="407"/>
        <v>Фізична особа</v>
      </c>
      <c r="H2793" s="1" t="s">
        <v>20</v>
      </c>
      <c r="I2793" s="1" t="s">
        <v>20</v>
      </c>
      <c r="J2793" s="1" t="str">
        <f t="shared" ref="J2793:J2809" si="408">"Закрито"</f>
        <v>Закрито</v>
      </c>
      <c r="K2793" s="5">
        <v>45622</v>
      </c>
      <c r="L2793" s="1" t="s">
        <v>20</v>
      </c>
      <c r="M2793" s="1" t="s">
        <v>22</v>
      </c>
      <c r="N2793" s="5">
        <v>45622</v>
      </c>
    </row>
    <row r="2794" spans="1:14" x14ac:dyDescent="0.3">
      <c r="A2794" s="1" t="str">
        <f>"1_6058/2129-11/2024/Б"</f>
        <v>1_6058/2129-11/2024/Б</v>
      </c>
      <c r="B2794" s="6">
        <v>45622</v>
      </c>
      <c r="C2794" s="1" t="str">
        <f>"00038"</f>
        <v>00038</v>
      </c>
      <c r="D279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94" s="1" t="s">
        <v>20</v>
      </c>
      <c r="F27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94" s="1" t="str">
        <f t="shared" si="407"/>
        <v>Фізична особа</v>
      </c>
      <c r="H2794" s="1" t="s">
        <v>20</v>
      </c>
      <c r="I2794" s="1" t="s">
        <v>20</v>
      </c>
      <c r="J2794" s="1" t="str">
        <f t="shared" si="408"/>
        <v>Закрито</v>
      </c>
      <c r="K2794" s="5">
        <v>45622</v>
      </c>
      <c r="L2794" s="1" t="s">
        <v>20</v>
      </c>
      <c r="M2794" s="1" t="s">
        <v>22</v>
      </c>
      <c r="N2794" s="5">
        <v>45622</v>
      </c>
    </row>
    <row r="2795" spans="1:14" x14ac:dyDescent="0.3">
      <c r="A2795" s="1" t="str">
        <f>"1_6059/2129-11/2024/Л"</f>
        <v>1_6059/2129-11/2024/Л</v>
      </c>
      <c r="B2795" s="6">
        <v>45622</v>
      </c>
      <c r="C2795" s="1" t="str">
        <f>"00038"</f>
        <v>00038</v>
      </c>
      <c r="D279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95" s="1" t="s">
        <v>20</v>
      </c>
      <c r="F279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95" s="1" t="str">
        <f t="shared" si="407"/>
        <v>Фізична особа</v>
      </c>
      <c r="H2795" s="1" t="s">
        <v>20</v>
      </c>
      <c r="I2795" s="1" t="s">
        <v>20</v>
      </c>
      <c r="J2795" s="1" t="str">
        <f t="shared" si="408"/>
        <v>Закрито</v>
      </c>
      <c r="K2795" s="5">
        <v>45622</v>
      </c>
      <c r="L2795" s="1" t="s">
        <v>20</v>
      </c>
      <c r="M2795" s="1" t="s">
        <v>22</v>
      </c>
      <c r="N2795" s="5">
        <v>45622</v>
      </c>
    </row>
    <row r="2796" spans="1:14" x14ac:dyDescent="0.3">
      <c r="A2796" s="1" t="str">
        <f>"1_6060/2129-11/2024/Л"</f>
        <v>1_6060/2129-11/2024/Л</v>
      </c>
      <c r="B2796" s="6">
        <v>45622</v>
      </c>
      <c r="C2796" s="1" t="str">
        <f>"00038"</f>
        <v>00038</v>
      </c>
      <c r="D279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796" s="1" t="s">
        <v>20</v>
      </c>
      <c r="F279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96" s="1" t="str">
        <f t="shared" si="407"/>
        <v>Фізична особа</v>
      </c>
      <c r="H2796" s="1" t="s">
        <v>20</v>
      </c>
      <c r="I2796" s="1" t="s">
        <v>20</v>
      </c>
      <c r="J2796" s="1" t="str">
        <f t="shared" si="408"/>
        <v>Закрито</v>
      </c>
      <c r="K2796" s="5">
        <v>45622</v>
      </c>
      <c r="L2796" s="1" t="s">
        <v>20</v>
      </c>
      <c r="M2796" s="1" t="s">
        <v>22</v>
      </c>
      <c r="N2796" s="5">
        <v>45622</v>
      </c>
    </row>
    <row r="2797" spans="1:14" x14ac:dyDescent="0.3">
      <c r="A2797" s="1" t="str">
        <f>"28_668-11/2024/О"</f>
        <v>28_668-11/2024/О</v>
      </c>
      <c r="B2797" s="6">
        <v>45622</v>
      </c>
      <c r="C2797" s="1" t="str">
        <f>"02022"</f>
        <v>02022</v>
      </c>
      <c r="D2797" s="2" t="str">
        <f>"Видача довідки про членство в особистому селянському господарстві"</f>
        <v>Видача довідки про членство в особистому селянському господарстві</v>
      </c>
      <c r="E2797" s="1" t="s">
        <v>20</v>
      </c>
      <c r="F279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797" s="1" t="str">
        <f t="shared" si="407"/>
        <v>Фізична особа</v>
      </c>
      <c r="H2797" s="1" t="s">
        <v>20</v>
      </c>
      <c r="I2797" s="1" t="s">
        <v>20</v>
      </c>
      <c r="J2797" s="1" t="str">
        <f t="shared" si="408"/>
        <v>Закрито</v>
      </c>
      <c r="K2797" s="5">
        <v>45622</v>
      </c>
      <c r="L2797" s="1" t="s">
        <v>20</v>
      </c>
      <c r="M2797" s="1" t="s">
        <v>22</v>
      </c>
      <c r="N2797" s="5">
        <v>45622</v>
      </c>
    </row>
    <row r="2798" spans="1:14" x14ac:dyDescent="0.3">
      <c r="A2798" s="1" t="str">
        <f>"3_1435/4-11/2024/П"</f>
        <v>3_1435/4-11/2024/П</v>
      </c>
      <c r="B2798" s="6">
        <v>45622</v>
      </c>
      <c r="C2798" s="1" t="str">
        <f>"00068"</f>
        <v>00068</v>
      </c>
      <c r="D2798" s="2" t="str">
        <f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2798" s="1" t="s">
        <v>20</v>
      </c>
      <c r="F2798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798" s="1" t="str">
        <f>"Юридична особа"</f>
        <v>Юридична особа</v>
      </c>
      <c r="H2798" s="1" t="str">
        <f>"Приватне підприємство ""Струмок"""</f>
        <v>Приватне підприємство "Струмок"</v>
      </c>
      <c r="I2798" s="1" t="str">
        <f>"20547261"</f>
        <v>20547261</v>
      </c>
      <c r="J2798" s="1" t="str">
        <f t="shared" si="408"/>
        <v>Закрито</v>
      </c>
      <c r="K2798" s="5">
        <v>45625</v>
      </c>
      <c r="L2798" s="1" t="s">
        <v>20</v>
      </c>
      <c r="M2798" s="1" t="s">
        <v>22</v>
      </c>
      <c r="N2798" s="5">
        <v>45625</v>
      </c>
    </row>
    <row r="2799" spans="1:14" x14ac:dyDescent="0.3">
      <c r="A2799" s="1" t="str">
        <f>"3_1436/4-11/2024/П"</f>
        <v>3_1436/4-11/2024/П</v>
      </c>
      <c r="B2799" s="6">
        <v>45622</v>
      </c>
      <c r="C2799" s="1" t="str">
        <f>"00068"</f>
        <v>00068</v>
      </c>
      <c r="D2799" s="2" t="str">
        <f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2799" s="1" t="s">
        <v>20</v>
      </c>
      <c r="F2799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799" s="1" t="str">
        <f>"Юридична особа"</f>
        <v>Юридична особа</v>
      </c>
      <c r="H2799" s="1" t="str">
        <f>"Приватне підприємство ""Струмок"""</f>
        <v>Приватне підприємство "Струмок"</v>
      </c>
      <c r="I2799" s="1" t="str">
        <f>"20547261"</f>
        <v>20547261</v>
      </c>
      <c r="J2799" s="1" t="str">
        <f t="shared" si="408"/>
        <v>Закрито</v>
      </c>
      <c r="K2799" s="5">
        <v>45625</v>
      </c>
      <c r="L2799" s="1" t="s">
        <v>20</v>
      </c>
      <c r="M2799" s="1" t="s">
        <v>22</v>
      </c>
      <c r="N2799" s="5">
        <v>45625</v>
      </c>
    </row>
    <row r="2800" spans="1:14" x14ac:dyDescent="0.3">
      <c r="A2800" s="1" t="str">
        <f>"33_431-11/2024/Ф"</f>
        <v>33_431-11/2024/Ф</v>
      </c>
      <c r="B2800" s="6">
        <v>45622</v>
      </c>
      <c r="C2800" s="1" t="str">
        <f>"01841"</f>
        <v>01841</v>
      </c>
      <c r="D2800" s="2" t="str">
        <f>"Видача довідки про реєстрацію та проживання особи станом на 15.04.1991 року"</f>
        <v>Видача довідки про реєстрацію та проживання особи станом на 15.04.1991 року</v>
      </c>
      <c r="E2800" s="1" t="s">
        <v>20</v>
      </c>
      <c r="F2800" s="1" t="str">
        <f t="shared" ref="F2800:F2805" si="409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00" s="1" t="str">
        <f t="shared" ref="G2800:G2805" si="410">"Фізична особа"</f>
        <v>Фізична особа</v>
      </c>
      <c r="H2800" s="1" t="s">
        <v>20</v>
      </c>
      <c r="I2800" s="1" t="s">
        <v>20</v>
      </c>
      <c r="J2800" s="1" t="str">
        <f t="shared" si="408"/>
        <v>Закрито</v>
      </c>
      <c r="K2800" s="5">
        <v>45622</v>
      </c>
      <c r="L2800" s="1" t="s">
        <v>20</v>
      </c>
      <c r="M2800" s="1" t="s">
        <v>22</v>
      </c>
      <c r="N2800" s="5">
        <v>45622</v>
      </c>
    </row>
    <row r="2801" spans="1:14" x14ac:dyDescent="0.3">
      <c r="A2801" s="1" t="str">
        <f>"11_111-11/2024/Е"</f>
        <v>11_111-11/2024/Е</v>
      </c>
      <c r="B2801" s="6">
        <v>45622</v>
      </c>
      <c r="C2801" s="1" t="str">
        <f>"00038"</f>
        <v>00038</v>
      </c>
      <c r="D280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01" s="1" t="s">
        <v>20</v>
      </c>
      <c r="F2801" s="1" t="str">
        <f t="shared" si="409"/>
        <v>Центр надання адміністративних послуг Рогатинської міської ради</v>
      </c>
      <c r="G2801" s="1" t="str">
        <f t="shared" si="410"/>
        <v>Фізична особа</v>
      </c>
      <c r="H2801" s="1" t="s">
        <v>20</v>
      </c>
      <c r="I2801" s="1" t="s">
        <v>20</v>
      </c>
      <c r="J2801" s="1" t="str">
        <f t="shared" si="408"/>
        <v>Закрито</v>
      </c>
      <c r="K2801" s="5">
        <v>45622</v>
      </c>
      <c r="L2801" s="1" t="s">
        <v>20</v>
      </c>
      <c r="M2801" s="1" t="s">
        <v>22</v>
      </c>
      <c r="N2801" s="5">
        <v>45622</v>
      </c>
    </row>
    <row r="2802" spans="1:14" x14ac:dyDescent="0.3">
      <c r="A2802" s="1" t="str">
        <f>"11_112-11/2024/Е"</f>
        <v>11_112-11/2024/Е</v>
      </c>
      <c r="B2802" s="6">
        <v>45622</v>
      </c>
      <c r="C2802" s="1" t="str">
        <f>"00038"</f>
        <v>00038</v>
      </c>
      <c r="D280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02" s="1" t="s">
        <v>20</v>
      </c>
      <c r="F2802" s="1" t="str">
        <f t="shared" si="409"/>
        <v>Центр надання адміністративних послуг Рогатинської міської ради</v>
      </c>
      <c r="G2802" s="1" t="str">
        <f t="shared" si="410"/>
        <v>Фізична особа</v>
      </c>
      <c r="H2802" s="1" t="s">
        <v>20</v>
      </c>
      <c r="I2802" s="1" t="s">
        <v>20</v>
      </c>
      <c r="J2802" s="1" t="str">
        <f t="shared" si="408"/>
        <v>Закрито</v>
      </c>
      <c r="K2802" s="5">
        <v>45622</v>
      </c>
      <c r="L2802" s="1" t="s">
        <v>20</v>
      </c>
      <c r="M2802" s="1" t="s">
        <v>22</v>
      </c>
      <c r="N2802" s="5">
        <v>45622</v>
      </c>
    </row>
    <row r="2803" spans="1:14" x14ac:dyDescent="0.3">
      <c r="A2803" s="1" t="str">
        <f>"1_743-11/2024/Ч"</f>
        <v>1_743-11/2024/Ч</v>
      </c>
      <c r="B2803" s="6">
        <v>45622</v>
      </c>
      <c r="C2803" s="1" t="str">
        <f>"01296"</f>
        <v>01296</v>
      </c>
      <c r="D2803" s="2" t="str">
        <f>"Видача довідки про проживання без реєстрації"</f>
        <v>Видача довідки про проживання без реєстрації</v>
      </c>
      <c r="E2803" s="1" t="s">
        <v>20</v>
      </c>
      <c r="F2803" s="1" t="str">
        <f t="shared" si="409"/>
        <v>Центр надання адміністративних послуг Рогатинської міської ради</v>
      </c>
      <c r="G2803" s="1" t="str">
        <f t="shared" si="410"/>
        <v>Фізична особа</v>
      </c>
      <c r="H2803" s="1" t="s">
        <v>20</v>
      </c>
      <c r="I2803" s="1" t="s">
        <v>20</v>
      </c>
      <c r="J2803" s="1" t="str">
        <f t="shared" si="408"/>
        <v>Закрито</v>
      </c>
      <c r="K2803" s="5">
        <v>45622</v>
      </c>
      <c r="L2803" s="1" t="s">
        <v>20</v>
      </c>
      <c r="M2803" s="1" t="s">
        <v>22</v>
      </c>
      <c r="N2803" s="5">
        <v>45622</v>
      </c>
    </row>
    <row r="2804" spans="1:14" x14ac:dyDescent="0.3">
      <c r="A2804" s="1" t="str">
        <f>"11_113-11/2024/Г"</f>
        <v>11_113-11/2024/Г</v>
      </c>
      <c r="B2804" s="6">
        <v>45622</v>
      </c>
      <c r="C2804" s="1" t="str">
        <f>"00038"</f>
        <v>00038</v>
      </c>
      <c r="D280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04" s="1" t="s">
        <v>20</v>
      </c>
      <c r="F2804" s="1" t="str">
        <f t="shared" si="409"/>
        <v>Центр надання адміністративних послуг Рогатинської міської ради</v>
      </c>
      <c r="G2804" s="1" t="str">
        <f t="shared" si="410"/>
        <v>Фізична особа</v>
      </c>
      <c r="H2804" s="1" t="s">
        <v>20</v>
      </c>
      <c r="I2804" s="1" t="s">
        <v>20</v>
      </c>
      <c r="J2804" s="1" t="str">
        <f t="shared" si="408"/>
        <v>Закрито</v>
      </c>
      <c r="K2804" s="5">
        <v>45622</v>
      </c>
      <c r="L2804" s="1" t="s">
        <v>20</v>
      </c>
      <c r="M2804" s="1" t="s">
        <v>22</v>
      </c>
      <c r="N2804" s="5">
        <v>45622</v>
      </c>
    </row>
    <row r="2805" spans="1:14" x14ac:dyDescent="0.3">
      <c r="A2805" s="1" t="str">
        <f>"1_744-11/2024/Л"</f>
        <v>1_744-11/2024/Л</v>
      </c>
      <c r="B2805" s="6">
        <v>45622</v>
      </c>
      <c r="C2805" s="1" t="str">
        <f>"00038"</f>
        <v>00038</v>
      </c>
      <c r="D280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05" s="1" t="s">
        <v>20</v>
      </c>
      <c r="F2805" s="1" t="str">
        <f t="shared" si="409"/>
        <v>Центр надання адміністративних послуг Рогатинської міської ради</v>
      </c>
      <c r="G2805" s="1" t="str">
        <f t="shared" si="410"/>
        <v>Фізична особа</v>
      </c>
      <c r="H2805" s="1" t="s">
        <v>20</v>
      </c>
      <c r="I2805" s="1" t="s">
        <v>20</v>
      </c>
      <c r="J2805" s="1" t="str">
        <f t="shared" si="408"/>
        <v>Закрито</v>
      </c>
      <c r="K2805" s="5">
        <v>45622</v>
      </c>
      <c r="L2805" s="1" t="s">
        <v>20</v>
      </c>
      <c r="M2805" s="1" t="s">
        <v>22</v>
      </c>
      <c r="N2805" s="5">
        <v>45622</v>
      </c>
    </row>
    <row r="2806" spans="1:14" x14ac:dyDescent="0.3">
      <c r="A2806" s="1" t="str">
        <f>"3_1437/4-11/2024/П"</f>
        <v>3_1437/4-11/2024/П</v>
      </c>
      <c r="B2806" s="6">
        <v>45622</v>
      </c>
      <c r="C2806" s="1" t="str">
        <f>"00060"</f>
        <v>00060</v>
      </c>
      <c r="D2806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806" s="1" t="s">
        <v>20</v>
      </c>
      <c r="F2806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806" s="1" t="str">
        <f>"Юридична особа"</f>
        <v>Юридична особа</v>
      </c>
      <c r="H2806" s="1" t="str">
        <f>"Приватне підприємство ""Струмок"""</f>
        <v>Приватне підприємство "Струмок"</v>
      </c>
      <c r="I2806" s="1" t="str">
        <f>"20547261"</f>
        <v>20547261</v>
      </c>
      <c r="J2806" s="1" t="str">
        <f t="shared" si="408"/>
        <v>Закрито</v>
      </c>
      <c r="K2806" s="5">
        <v>45625</v>
      </c>
      <c r="L2806" s="1" t="str">
        <f>"151.4"</f>
        <v>151.4</v>
      </c>
      <c r="M2806" s="1" t="s">
        <v>22</v>
      </c>
      <c r="N2806" s="5">
        <v>45625</v>
      </c>
    </row>
    <row r="2807" spans="1:14" x14ac:dyDescent="0.3">
      <c r="A2807" s="1" t="str">
        <f>"1_745-11/2024/К"</f>
        <v>1_745-11/2024/К</v>
      </c>
      <c r="B2807" s="6">
        <v>45622</v>
      </c>
      <c r="C2807" s="1" t="str">
        <f>"00038"</f>
        <v>00038</v>
      </c>
      <c r="D280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07" s="1" t="s">
        <v>20</v>
      </c>
      <c r="F280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07" s="1" t="str">
        <f t="shared" ref="G2807:G2819" si="411">"Фізична особа"</f>
        <v>Фізична особа</v>
      </c>
      <c r="H2807" s="1" t="s">
        <v>20</v>
      </c>
      <c r="I2807" s="1" t="s">
        <v>20</v>
      </c>
      <c r="J2807" s="1" t="str">
        <f t="shared" si="408"/>
        <v>Закрито</v>
      </c>
      <c r="K2807" s="5">
        <v>45622</v>
      </c>
      <c r="L2807" s="1" t="s">
        <v>20</v>
      </c>
      <c r="M2807" s="1" t="s">
        <v>22</v>
      </c>
      <c r="N2807" s="5">
        <v>45622</v>
      </c>
    </row>
    <row r="2808" spans="1:14" x14ac:dyDescent="0.3">
      <c r="A2808" s="1" t="str">
        <f>"11_114-11/2024/Г"</f>
        <v>11_114-11/2024/Г</v>
      </c>
      <c r="B2808" s="6">
        <v>45622</v>
      </c>
      <c r="C2808" s="1" t="str">
        <f>"33"</f>
        <v>33</v>
      </c>
      <c r="D2808" s="2" t="str">
        <f>"33 Довідки різного характеру"</f>
        <v>33 Довідки різного характеру</v>
      </c>
      <c r="E2808" s="1" t="s">
        <v>20</v>
      </c>
      <c r="F280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08" s="1" t="str">
        <f t="shared" si="411"/>
        <v>Фізична особа</v>
      </c>
      <c r="H2808" s="1" t="s">
        <v>20</v>
      </c>
      <c r="I2808" s="1" t="s">
        <v>20</v>
      </c>
      <c r="J2808" s="1" t="str">
        <f t="shared" si="408"/>
        <v>Закрито</v>
      </c>
      <c r="K2808" s="5">
        <v>45622</v>
      </c>
      <c r="L2808" s="1" t="s">
        <v>20</v>
      </c>
      <c r="M2808" s="1" t="s">
        <v>22</v>
      </c>
      <c r="N2808" s="5">
        <v>45622</v>
      </c>
    </row>
    <row r="2809" spans="1:14" x14ac:dyDescent="0.3">
      <c r="A2809" s="1" t="str">
        <f>"1_6061/2129-11/2024/Г"</f>
        <v>1_6061/2129-11/2024/Г</v>
      </c>
      <c r="B2809" s="6">
        <v>45622</v>
      </c>
      <c r="C2809" s="1" t="str">
        <f>"00038"</f>
        <v>00038</v>
      </c>
      <c r="D280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09" s="1" t="s">
        <v>20</v>
      </c>
      <c r="F280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09" s="1" t="str">
        <f t="shared" si="411"/>
        <v>Фізична особа</v>
      </c>
      <c r="H2809" s="1" t="s">
        <v>20</v>
      </c>
      <c r="I2809" s="1" t="s">
        <v>20</v>
      </c>
      <c r="J2809" s="1" t="str">
        <f t="shared" si="408"/>
        <v>Закрито</v>
      </c>
      <c r="K2809" s="5">
        <v>45622</v>
      </c>
      <c r="L2809" s="1" t="s">
        <v>20</v>
      </c>
      <c r="M2809" s="1" t="s">
        <v>22</v>
      </c>
      <c r="N2809" s="5">
        <v>45622</v>
      </c>
    </row>
    <row r="2810" spans="1:14" x14ac:dyDescent="0.3">
      <c r="A2810" s="1" t="str">
        <f>"11_115-11/2024/Г"</f>
        <v>11_115-11/2024/Г</v>
      </c>
      <c r="B2810" s="6">
        <v>45622</v>
      </c>
      <c r="C2810" s="1" t="str">
        <f>"00155"</f>
        <v>00155</v>
      </c>
      <c r="D2810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10" s="1" t="str">
        <f>"03193413"</f>
        <v>03193413</v>
      </c>
      <c r="F281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10" s="1" t="str">
        <f t="shared" si="411"/>
        <v>Фізична особа</v>
      </c>
      <c r="H2810" s="1" t="s">
        <v>20</v>
      </c>
      <c r="I2810" s="1" t="s">
        <v>20</v>
      </c>
      <c r="J2810" s="1" t="str">
        <f>"Заявника сповіщено про результат"</f>
        <v>Заявника сповіщено про результат</v>
      </c>
      <c r="K2810" s="5">
        <v>45653</v>
      </c>
      <c r="L2810" s="1" t="s">
        <v>20</v>
      </c>
      <c r="M2810" s="1" t="s">
        <v>22</v>
      </c>
      <c r="N2810" s="5">
        <v>45653</v>
      </c>
    </row>
    <row r="2811" spans="1:14" x14ac:dyDescent="0.3">
      <c r="A2811" s="1" t="str">
        <f>"25_444-11/2024/Х"</f>
        <v>25_444-11/2024/Х</v>
      </c>
      <c r="B2811" s="6">
        <v>45622</v>
      </c>
      <c r="C2811" s="1" t="str">
        <f>"00038"</f>
        <v>00038</v>
      </c>
      <c r="D281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11" s="1" t="s">
        <v>20</v>
      </c>
      <c r="F2811" s="1" t="str">
        <f t="shared" ref="F2811:F2816" si="412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11" s="1" t="str">
        <f t="shared" si="411"/>
        <v>Фізична особа</v>
      </c>
      <c r="H2811" s="1" t="s">
        <v>20</v>
      </c>
      <c r="I2811" s="1" t="s">
        <v>20</v>
      </c>
      <c r="J2811" s="1" t="str">
        <f t="shared" ref="J2811:J2828" si="413">"Закрито"</f>
        <v>Закрито</v>
      </c>
      <c r="K2811" s="5">
        <v>45623</v>
      </c>
      <c r="L2811" s="1" t="s">
        <v>20</v>
      </c>
      <c r="M2811" s="1" t="s">
        <v>22</v>
      </c>
      <c r="N2811" s="5">
        <v>45623</v>
      </c>
    </row>
    <row r="2812" spans="1:14" x14ac:dyDescent="0.3">
      <c r="A2812" s="1" t="str">
        <f>"1_746-11/2024/К"</f>
        <v>1_746-11/2024/К</v>
      </c>
      <c r="B2812" s="6">
        <v>45622</v>
      </c>
      <c r="C2812" s="1" t="str">
        <f>"01298"</f>
        <v>01298</v>
      </c>
      <c r="D2812" s="2" t="str">
        <f>"Видача довідки про реєстрацію місця проживання померлого,  у тому числі про поживаючих разом з померлим за однією адресою"</f>
        <v>Видача довідки про реєстрацію місця проживання померлого,  у тому числі про поживаючих разом з померлим за однією адресою</v>
      </c>
      <c r="E2812" s="1" t="s">
        <v>20</v>
      </c>
      <c r="F2812" s="1" t="str">
        <f t="shared" si="412"/>
        <v>Центр надання адміністративних послуг Рогатинської міської ради</v>
      </c>
      <c r="G2812" s="1" t="str">
        <f t="shared" si="411"/>
        <v>Фізична особа</v>
      </c>
      <c r="H2812" s="1" t="s">
        <v>20</v>
      </c>
      <c r="I2812" s="1" t="s">
        <v>20</v>
      </c>
      <c r="J2812" s="1" t="str">
        <f t="shared" si="413"/>
        <v>Закрито</v>
      </c>
      <c r="K2812" s="5">
        <v>45622</v>
      </c>
      <c r="L2812" s="1" t="s">
        <v>20</v>
      </c>
      <c r="M2812" s="1" t="s">
        <v>22</v>
      </c>
      <c r="N2812" s="5">
        <v>45622</v>
      </c>
    </row>
    <row r="2813" spans="1:14" x14ac:dyDescent="0.3">
      <c r="A2813" s="1" t="str">
        <f>"3_880-11/2024/Д"</f>
        <v>3_880-11/2024/Д</v>
      </c>
      <c r="B2813" s="6">
        <v>45622</v>
      </c>
      <c r="C2813" s="1" t="str">
        <f>"00034"</f>
        <v>00034</v>
      </c>
      <c r="D2813" s="2" t="str">
        <f>"Реєстрація місця проживання"</f>
        <v>Реєстрація місця проживання</v>
      </c>
      <c r="E2813" s="1" t="s">
        <v>20</v>
      </c>
      <c r="F2813" s="1" t="str">
        <f t="shared" si="412"/>
        <v>Центр надання адміністративних послуг Рогатинської міської ради</v>
      </c>
      <c r="G2813" s="1" t="str">
        <f t="shared" si="411"/>
        <v>Фізична особа</v>
      </c>
      <c r="H2813" s="1" t="s">
        <v>20</v>
      </c>
      <c r="I2813" s="1" t="s">
        <v>20</v>
      </c>
      <c r="J2813" s="1" t="str">
        <f t="shared" si="413"/>
        <v>Закрито</v>
      </c>
      <c r="K2813" s="5">
        <v>45622</v>
      </c>
      <c r="L2813" s="1" t="str">
        <f>"75.7"</f>
        <v>75.7</v>
      </c>
      <c r="M2813" s="1" t="s">
        <v>22</v>
      </c>
      <c r="N2813" s="5">
        <v>45622</v>
      </c>
    </row>
    <row r="2814" spans="1:14" x14ac:dyDescent="0.3">
      <c r="A2814" s="1" t="str">
        <f>"1_747-11/2024/К"</f>
        <v>1_747-11/2024/К</v>
      </c>
      <c r="B2814" s="6">
        <v>45622</v>
      </c>
      <c r="C2814" s="1" t="str">
        <f>"33"</f>
        <v>33</v>
      </c>
      <c r="D2814" s="2" t="str">
        <f>"33 Довідки різного характеру"</f>
        <v>33 Довідки різного характеру</v>
      </c>
      <c r="E2814" s="1" t="s">
        <v>20</v>
      </c>
      <c r="F2814" s="1" t="str">
        <f t="shared" si="412"/>
        <v>Центр надання адміністративних послуг Рогатинської міської ради</v>
      </c>
      <c r="G2814" s="1" t="str">
        <f t="shared" si="411"/>
        <v>Фізична особа</v>
      </c>
      <c r="H2814" s="1" t="s">
        <v>20</v>
      </c>
      <c r="I2814" s="1" t="s">
        <v>20</v>
      </c>
      <c r="J2814" s="1" t="str">
        <f t="shared" si="413"/>
        <v>Закрито</v>
      </c>
      <c r="K2814" s="5">
        <v>45622</v>
      </c>
      <c r="L2814" s="1" t="s">
        <v>20</v>
      </c>
      <c r="M2814" s="1" t="s">
        <v>22</v>
      </c>
      <c r="N2814" s="5">
        <v>45622</v>
      </c>
    </row>
    <row r="2815" spans="1:14" x14ac:dyDescent="0.3">
      <c r="A2815" s="1" t="str">
        <f>"3_881-11/2024/Д"</f>
        <v>3_881-11/2024/Д</v>
      </c>
      <c r="B2815" s="6">
        <v>45622</v>
      </c>
      <c r="C2815" s="1" t="str">
        <f>"00038"</f>
        <v>00038</v>
      </c>
      <c r="D281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15" s="1" t="s">
        <v>20</v>
      </c>
      <c r="F2815" s="1" t="str">
        <f t="shared" si="412"/>
        <v>Центр надання адміністративних послуг Рогатинської міської ради</v>
      </c>
      <c r="G2815" s="1" t="str">
        <f t="shared" si="411"/>
        <v>Фізична особа</v>
      </c>
      <c r="H2815" s="1" t="s">
        <v>20</v>
      </c>
      <c r="I2815" s="1" t="s">
        <v>20</v>
      </c>
      <c r="J2815" s="1" t="str">
        <f t="shared" si="413"/>
        <v>Закрито</v>
      </c>
      <c r="K2815" s="5">
        <v>45622</v>
      </c>
      <c r="L2815" s="1" t="s">
        <v>20</v>
      </c>
      <c r="M2815" s="1" t="s">
        <v>22</v>
      </c>
      <c r="N2815" s="5">
        <v>45622</v>
      </c>
    </row>
    <row r="2816" spans="1:14" x14ac:dyDescent="0.3">
      <c r="A2816" s="1" t="str">
        <f>"1_748-11/2024/Г"</f>
        <v>1_748-11/2024/Г</v>
      </c>
      <c r="B2816" s="6">
        <v>45622</v>
      </c>
      <c r="C2816" s="1" t="str">
        <f>"01296"</f>
        <v>01296</v>
      </c>
      <c r="D2816" s="2" t="str">
        <f>"Видача довідки про проживання без реєстрації"</f>
        <v>Видача довідки про проживання без реєстрації</v>
      </c>
      <c r="E2816" s="1" t="s">
        <v>20</v>
      </c>
      <c r="F2816" s="1" t="str">
        <f t="shared" si="412"/>
        <v>Центр надання адміністративних послуг Рогатинської міської ради</v>
      </c>
      <c r="G2816" s="1" t="str">
        <f t="shared" si="411"/>
        <v>Фізична особа</v>
      </c>
      <c r="H2816" s="1" t="s">
        <v>20</v>
      </c>
      <c r="I2816" s="1" t="s">
        <v>20</v>
      </c>
      <c r="J2816" s="1" t="str">
        <f t="shared" si="413"/>
        <v>Закрито</v>
      </c>
      <c r="K2816" s="5">
        <v>45622</v>
      </c>
      <c r="L2816" s="1" t="s">
        <v>20</v>
      </c>
      <c r="M2816" s="1" t="s">
        <v>22</v>
      </c>
      <c r="N2816" s="5">
        <v>45622</v>
      </c>
    </row>
    <row r="2817" spans="1:14" x14ac:dyDescent="0.3">
      <c r="A2817" s="1" t="str">
        <f>"3_882-11/2024/Л"</f>
        <v>3_882-11/2024/Л</v>
      </c>
      <c r="B2817" s="6">
        <v>45622</v>
      </c>
      <c r="C2817" s="1" t="str">
        <f>"01974"</f>
        <v>01974</v>
      </c>
      <c r="D2817" s="2" t="str">
        <f>"Призначення пільги на оплату житла, комунальних послуг"</f>
        <v>Призначення пільги на оплату житла, комунальних послуг</v>
      </c>
      <c r="E2817" s="1" t="str">
        <f>"03193413"</f>
        <v>03193413</v>
      </c>
      <c r="F281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17" s="1" t="str">
        <f t="shared" si="411"/>
        <v>Фізична особа</v>
      </c>
      <c r="H2817" s="1" t="s">
        <v>20</v>
      </c>
      <c r="I2817" s="1" t="s">
        <v>20</v>
      </c>
      <c r="J2817" s="1" t="str">
        <f t="shared" si="413"/>
        <v>Закрито</v>
      </c>
      <c r="K2817" s="5">
        <v>45635</v>
      </c>
      <c r="L2817" s="1" t="s">
        <v>20</v>
      </c>
      <c r="M2817" s="1" t="s">
        <v>22</v>
      </c>
      <c r="N2817" s="5">
        <v>45637</v>
      </c>
    </row>
    <row r="2818" spans="1:14" x14ac:dyDescent="0.3">
      <c r="A2818" s="1" t="str">
        <f>"1_749-11/2024/Л"</f>
        <v>1_749-11/2024/Л</v>
      </c>
      <c r="B2818" s="6">
        <v>45622</v>
      </c>
      <c r="C2818" s="1" t="str">
        <f>"01298"</f>
        <v>01298</v>
      </c>
      <c r="D2818" s="2" t="str">
        <f>"Видача довідки про реєстрацію місця проживання померлого,  у тому числі про поживаючих разом з померлим за однією адресою"</f>
        <v>Видача довідки про реєстрацію місця проживання померлого,  у тому числі про поживаючих разом з померлим за однією адресою</v>
      </c>
      <c r="E2818" s="1" t="s">
        <v>20</v>
      </c>
      <c r="F28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18" s="1" t="str">
        <f t="shared" si="411"/>
        <v>Фізична особа</v>
      </c>
      <c r="H2818" s="1" t="s">
        <v>20</v>
      </c>
      <c r="I2818" s="1" t="s">
        <v>20</v>
      </c>
      <c r="J2818" s="1" t="str">
        <f t="shared" si="413"/>
        <v>Закрито</v>
      </c>
      <c r="K2818" s="5">
        <v>45622</v>
      </c>
      <c r="L2818" s="1" t="s">
        <v>20</v>
      </c>
      <c r="M2818" s="1" t="s">
        <v>22</v>
      </c>
      <c r="N2818" s="5">
        <v>45622</v>
      </c>
    </row>
    <row r="2819" spans="1:14" x14ac:dyDescent="0.3">
      <c r="A2819" s="1" t="str">
        <f>"1_750-11/2024/Л"</f>
        <v>1_750-11/2024/Л</v>
      </c>
      <c r="B2819" s="6">
        <v>45622</v>
      </c>
      <c r="C2819" s="1" t="str">
        <f>"33"</f>
        <v>33</v>
      </c>
      <c r="D2819" s="2" t="str">
        <f>"33 Довідки різного характеру"</f>
        <v>33 Довідки різного характеру</v>
      </c>
      <c r="E2819" s="1" t="s">
        <v>20</v>
      </c>
      <c r="F281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19" s="1" t="str">
        <f t="shared" si="411"/>
        <v>Фізична особа</v>
      </c>
      <c r="H2819" s="1" t="s">
        <v>20</v>
      </c>
      <c r="I2819" s="1" t="s">
        <v>20</v>
      </c>
      <c r="J2819" s="1" t="str">
        <f t="shared" si="413"/>
        <v>Закрито</v>
      </c>
      <c r="K2819" s="5">
        <v>45622</v>
      </c>
      <c r="L2819" s="1" t="s">
        <v>20</v>
      </c>
      <c r="M2819" s="1" t="s">
        <v>22</v>
      </c>
      <c r="N2819" s="5">
        <v>45622</v>
      </c>
    </row>
    <row r="2820" spans="1:14" x14ac:dyDescent="0.3">
      <c r="A2820" s="1" t="str">
        <f>"3_883-11/2024/Р"</f>
        <v>3_883-11/2024/Р</v>
      </c>
      <c r="B2820" s="6">
        <v>45622</v>
      </c>
      <c r="C2820" s="1" t="str">
        <f>"00038"</f>
        <v>00038</v>
      </c>
      <c r="D282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20" s="1" t="s">
        <v>20</v>
      </c>
      <c r="F282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20" s="1" t="str">
        <f>"Юридична особа"</f>
        <v>Юридична особа</v>
      </c>
      <c r="H2820" s="1" t="str">
        <f>"Рогатинський суд"</f>
        <v>Рогатинський суд</v>
      </c>
      <c r="I2820" s="1" t="s">
        <v>20</v>
      </c>
      <c r="J2820" s="1" t="str">
        <f t="shared" si="413"/>
        <v>Закрито</v>
      </c>
      <c r="K2820" s="5">
        <v>45622</v>
      </c>
      <c r="L2820" s="1" t="s">
        <v>20</v>
      </c>
      <c r="M2820" s="1" t="s">
        <v>22</v>
      </c>
      <c r="N2820" s="5">
        <v>45622</v>
      </c>
    </row>
    <row r="2821" spans="1:14" x14ac:dyDescent="0.3">
      <c r="A2821" s="1" t="str">
        <f>"33_432-11/2024/Ш"</f>
        <v>33_432-11/2024/Ш</v>
      </c>
      <c r="B2821" s="6">
        <v>45622</v>
      </c>
      <c r="C2821" s="1" t="str">
        <f>"33"</f>
        <v>33</v>
      </c>
      <c r="D2821" s="2" t="str">
        <f>"33 Довідки різного характеру"</f>
        <v>33 Довідки різного характеру</v>
      </c>
      <c r="E2821" s="1" t="s">
        <v>20</v>
      </c>
      <c r="F282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21" s="1" t="str">
        <f t="shared" ref="G2821:G2836" si="414">"Фізична особа"</f>
        <v>Фізична особа</v>
      </c>
      <c r="H2821" s="1" t="s">
        <v>20</v>
      </c>
      <c r="I2821" s="1" t="s">
        <v>20</v>
      </c>
      <c r="J2821" s="1" t="str">
        <f t="shared" si="413"/>
        <v>Закрито</v>
      </c>
      <c r="K2821" s="5">
        <v>45622</v>
      </c>
      <c r="L2821" s="1" t="s">
        <v>20</v>
      </c>
      <c r="M2821" s="1" t="s">
        <v>22</v>
      </c>
      <c r="N2821" s="5">
        <v>45622</v>
      </c>
    </row>
    <row r="2822" spans="1:14" x14ac:dyDescent="0.3">
      <c r="A2822" s="1" t="str">
        <f>"22_569-11/2024/П"</f>
        <v>22_569-11/2024/П</v>
      </c>
      <c r="B2822" s="6">
        <v>45622</v>
      </c>
      <c r="C2822" s="1" t="str">
        <f>"00064"</f>
        <v>00064</v>
      </c>
      <c r="D2822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822" s="1" t="s">
        <v>20</v>
      </c>
      <c r="F2822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822" s="1" t="str">
        <f t="shared" si="414"/>
        <v>Фізична особа</v>
      </c>
      <c r="H2822" s="1" t="s">
        <v>20</v>
      </c>
      <c r="I2822" s="1" t="s">
        <v>20</v>
      </c>
      <c r="J2822" s="1" t="str">
        <f t="shared" si="413"/>
        <v>Закрито</v>
      </c>
      <c r="K2822" s="5">
        <v>45622</v>
      </c>
      <c r="L2822" s="1" t="s">
        <v>20</v>
      </c>
      <c r="M2822" s="1" t="s">
        <v>22</v>
      </c>
      <c r="N2822" s="5">
        <v>45622</v>
      </c>
    </row>
    <row r="2823" spans="1:14" x14ac:dyDescent="0.3">
      <c r="A2823" s="1" t="str">
        <f>"12_915-11/2024/М"</f>
        <v>12_915-11/2024/М</v>
      </c>
      <c r="B2823" s="6">
        <v>45622</v>
      </c>
      <c r="C2823" s="1" t="str">
        <f>"00038"</f>
        <v>00038</v>
      </c>
      <c r="D282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23" s="1" t="s">
        <v>20</v>
      </c>
      <c r="F2823" s="1" t="str">
        <f t="shared" ref="F2823:F2828" si="415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23" s="1" t="str">
        <f t="shared" si="414"/>
        <v>Фізична особа</v>
      </c>
      <c r="H2823" s="1" t="s">
        <v>20</v>
      </c>
      <c r="I2823" s="1" t="s">
        <v>20</v>
      </c>
      <c r="J2823" s="1" t="str">
        <f t="shared" si="413"/>
        <v>Закрито</v>
      </c>
      <c r="K2823" s="5">
        <v>45622</v>
      </c>
      <c r="L2823" s="1" t="s">
        <v>20</v>
      </c>
      <c r="M2823" s="1" t="s">
        <v>22</v>
      </c>
      <c r="N2823" s="5">
        <v>45622</v>
      </c>
    </row>
    <row r="2824" spans="1:14" x14ac:dyDescent="0.3">
      <c r="A2824" s="1" t="str">
        <f>"12_916-11/2024/П"</f>
        <v>12_916-11/2024/П</v>
      </c>
      <c r="B2824" s="6">
        <v>45622</v>
      </c>
      <c r="C2824" s="1" t="str">
        <f>"00038"</f>
        <v>00038</v>
      </c>
      <c r="D282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24" s="1" t="s">
        <v>20</v>
      </c>
      <c r="F2824" s="1" t="str">
        <f t="shared" si="415"/>
        <v>Центр надання адміністративних послуг Рогатинської міської ради</v>
      </c>
      <c r="G2824" s="1" t="str">
        <f t="shared" si="414"/>
        <v>Фізична особа</v>
      </c>
      <c r="H2824" s="1" t="s">
        <v>20</v>
      </c>
      <c r="I2824" s="1" t="s">
        <v>20</v>
      </c>
      <c r="J2824" s="1" t="str">
        <f t="shared" si="413"/>
        <v>Закрито</v>
      </c>
      <c r="K2824" s="5">
        <v>45622</v>
      </c>
      <c r="L2824" s="1" t="s">
        <v>20</v>
      </c>
      <c r="M2824" s="1" t="s">
        <v>22</v>
      </c>
      <c r="N2824" s="5">
        <v>45622</v>
      </c>
    </row>
    <row r="2825" spans="1:14" x14ac:dyDescent="0.3">
      <c r="A2825" s="1" t="str">
        <f>"12_917-11/2024/М"</f>
        <v>12_917-11/2024/М</v>
      </c>
      <c r="B2825" s="6">
        <v>45622</v>
      </c>
      <c r="C2825" s="1" t="str">
        <f>"33"</f>
        <v>33</v>
      </c>
      <c r="D2825" s="2" t="str">
        <f>"33 Довідки різного характеру"</f>
        <v>33 Довідки різного характеру</v>
      </c>
      <c r="E2825" s="1" t="s">
        <v>20</v>
      </c>
      <c r="F2825" s="1" t="str">
        <f t="shared" si="415"/>
        <v>Центр надання адміністративних послуг Рогатинської міської ради</v>
      </c>
      <c r="G2825" s="1" t="str">
        <f t="shared" si="414"/>
        <v>Фізична особа</v>
      </c>
      <c r="H2825" s="1" t="s">
        <v>20</v>
      </c>
      <c r="I2825" s="1" t="s">
        <v>20</v>
      </c>
      <c r="J2825" s="1" t="str">
        <f t="shared" si="413"/>
        <v>Закрито</v>
      </c>
      <c r="K2825" s="5">
        <v>45622</v>
      </c>
      <c r="L2825" s="1" t="s">
        <v>20</v>
      </c>
      <c r="M2825" s="1" t="s">
        <v>22</v>
      </c>
      <c r="N2825" s="5">
        <v>45622</v>
      </c>
    </row>
    <row r="2826" spans="1:14" x14ac:dyDescent="0.3">
      <c r="A2826" s="1" t="str">
        <f>"12_918-11/2024/К"</f>
        <v>12_918-11/2024/К</v>
      </c>
      <c r="B2826" s="6">
        <v>45622</v>
      </c>
      <c r="C2826" s="1" t="str">
        <f>"00038"</f>
        <v>00038</v>
      </c>
      <c r="D282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26" s="1" t="s">
        <v>20</v>
      </c>
      <c r="F2826" s="1" t="str">
        <f t="shared" si="415"/>
        <v>Центр надання адміністративних послуг Рогатинської міської ради</v>
      </c>
      <c r="G2826" s="1" t="str">
        <f t="shared" si="414"/>
        <v>Фізична особа</v>
      </c>
      <c r="H2826" s="1" t="s">
        <v>20</v>
      </c>
      <c r="I2826" s="1" t="s">
        <v>20</v>
      </c>
      <c r="J2826" s="1" t="str">
        <f t="shared" si="413"/>
        <v>Закрито</v>
      </c>
      <c r="K2826" s="5">
        <v>45622</v>
      </c>
      <c r="L2826" s="1" t="s">
        <v>20</v>
      </c>
      <c r="M2826" s="1" t="s">
        <v>22</v>
      </c>
      <c r="N2826" s="5">
        <v>45622</v>
      </c>
    </row>
    <row r="2827" spans="1:14" x14ac:dyDescent="0.3">
      <c r="A2827" s="1" t="str">
        <f>"12_919-11/2024/І"</f>
        <v>12_919-11/2024/І</v>
      </c>
      <c r="B2827" s="6">
        <v>45622</v>
      </c>
      <c r="C2827" s="1" t="str">
        <f>"00038"</f>
        <v>00038</v>
      </c>
      <c r="D282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27" s="1" t="s">
        <v>20</v>
      </c>
      <c r="F2827" s="1" t="str">
        <f t="shared" si="415"/>
        <v>Центр надання адміністративних послуг Рогатинської міської ради</v>
      </c>
      <c r="G2827" s="1" t="str">
        <f t="shared" si="414"/>
        <v>Фізична особа</v>
      </c>
      <c r="H2827" s="1" t="s">
        <v>20</v>
      </c>
      <c r="I2827" s="1" t="s">
        <v>20</v>
      </c>
      <c r="J2827" s="1" t="str">
        <f t="shared" si="413"/>
        <v>Закрито</v>
      </c>
      <c r="K2827" s="5">
        <v>45622</v>
      </c>
      <c r="L2827" s="1" t="s">
        <v>20</v>
      </c>
      <c r="M2827" s="1" t="s">
        <v>22</v>
      </c>
      <c r="N2827" s="5">
        <v>45622</v>
      </c>
    </row>
    <row r="2828" spans="1:14" x14ac:dyDescent="0.3">
      <c r="A2828" s="1" t="str">
        <f>"12_920-11/2024/І"</f>
        <v>12_920-11/2024/І</v>
      </c>
      <c r="B2828" s="6">
        <v>45622</v>
      </c>
      <c r="C2828" s="1" t="str">
        <f>"00038"</f>
        <v>00038</v>
      </c>
      <c r="D282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28" s="1" t="s">
        <v>20</v>
      </c>
      <c r="F2828" s="1" t="str">
        <f t="shared" si="415"/>
        <v>Центр надання адміністративних послуг Рогатинської міської ради</v>
      </c>
      <c r="G2828" s="1" t="str">
        <f t="shared" si="414"/>
        <v>Фізична особа</v>
      </c>
      <c r="H2828" s="1" t="s">
        <v>20</v>
      </c>
      <c r="I2828" s="1" t="s">
        <v>20</v>
      </c>
      <c r="J2828" s="1" t="str">
        <f t="shared" si="413"/>
        <v>Закрито</v>
      </c>
      <c r="K2828" s="5">
        <v>45622</v>
      </c>
      <c r="L2828" s="1" t="s">
        <v>20</v>
      </c>
      <c r="M2828" s="1" t="s">
        <v>22</v>
      </c>
      <c r="N2828" s="5">
        <v>45622</v>
      </c>
    </row>
    <row r="2829" spans="1:14" x14ac:dyDescent="0.3">
      <c r="A2829" s="1" t="str">
        <f>"12_921-11/2024/І"</f>
        <v>12_921-11/2024/І</v>
      </c>
      <c r="B2829" s="6">
        <v>45622</v>
      </c>
      <c r="C2829" s="1" t="str">
        <f>"00155"</f>
        <v>00155</v>
      </c>
      <c r="D2829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29" s="1" t="str">
        <f>"03193413"</f>
        <v>03193413</v>
      </c>
      <c r="F282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29" s="1" t="str">
        <f t="shared" si="414"/>
        <v>Фізична особа</v>
      </c>
      <c r="H2829" s="1" t="s">
        <v>20</v>
      </c>
      <c r="I2829" s="1" t="s">
        <v>20</v>
      </c>
      <c r="J2829" s="1" t="str">
        <f>"Зареєстрований"</f>
        <v>Зареєстрований</v>
      </c>
      <c r="K2829" s="1" t="s">
        <v>20</v>
      </c>
      <c r="L2829" s="1" t="s">
        <v>20</v>
      </c>
      <c r="M2829" s="1" t="s">
        <v>22</v>
      </c>
      <c r="N2829" s="1" t="s">
        <v>20</v>
      </c>
    </row>
    <row r="2830" spans="1:14" x14ac:dyDescent="0.3">
      <c r="A2830" s="1" t="str">
        <f>"12_922-11/2024/О"</f>
        <v>12_922-11/2024/О</v>
      </c>
      <c r="B2830" s="6">
        <v>45622</v>
      </c>
      <c r="C2830" s="1" t="str">
        <f>"00038"</f>
        <v>00038</v>
      </c>
      <c r="D283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30" s="1" t="s">
        <v>20</v>
      </c>
      <c r="F28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30" s="1" t="str">
        <f t="shared" si="414"/>
        <v>Фізична особа</v>
      </c>
      <c r="H2830" s="1" t="s">
        <v>20</v>
      </c>
      <c r="I2830" s="1" t="s">
        <v>20</v>
      </c>
      <c r="J2830" s="1" t="str">
        <f>"Закрито"</f>
        <v>Закрито</v>
      </c>
      <c r="K2830" s="5">
        <v>45622</v>
      </c>
      <c r="L2830" s="1" t="s">
        <v>20</v>
      </c>
      <c r="M2830" s="1" t="s">
        <v>22</v>
      </c>
      <c r="N2830" s="5">
        <v>45622</v>
      </c>
    </row>
    <row r="2831" spans="1:14" x14ac:dyDescent="0.3">
      <c r="A2831" s="1" t="str">
        <f>"22_570-11/2024/Н"</f>
        <v>22_570-11/2024/Н</v>
      </c>
      <c r="B2831" s="6">
        <v>45622</v>
      </c>
      <c r="C2831" s="1" t="str">
        <f>"00038"</f>
        <v>00038</v>
      </c>
      <c r="D283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31" s="1" t="s">
        <v>20</v>
      </c>
      <c r="F283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31" s="1" t="str">
        <f t="shared" si="414"/>
        <v>Фізична особа</v>
      </c>
      <c r="H2831" s="1" t="s">
        <v>20</v>
      </c>
      <c r="I2831" s="1" t="s">
        <v>20</v>
      </c>
      <c r="J2831" s="1" t="str">
        <f>"Закрито"</f>
        <v>Закрито</v>
      </c>
      <c r="K2831" s="5">
        <v>45622</v>
      </c>
      <c r="L2831" s="1" t="s">
        <v>20</v>
      </c>
      <c r="M2831" s="1" t="s">
        <v>22</v>
      </c>
      <c r="N2831" s="5">
        <v>45622</v>
      </c>
    </row>
    <row r="2832" spans="1:14" x14ac:dyDescent="0.3">
      <c r="A2832" s="1" t="str">
        <f>"22_571-11/2024/Н"</f>
        <v>22_571-11/2024/Н</v>
      </c>
      <c r="B2832" s="6">
        <v>45622</v>
      </c>
      <c r="C2832" s="1" t="str">
        <f>"00038"</f>
        <v>00038</v>
      </c>
      <c r="D283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32" s="1" t="s">
        <v>20</v>
      </c>
      <c r="F28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32" s="1" t="str">
        <f t="shared" si="414"/>
        <v>Фізична особа</v>
      </c>
      <c r="H2832" s="1" t="s">
        <v>20</v>
      </c>
      <c r="I2832" s="1" t="s">
        <v>20</v>
      </c>
      <c r="J2832" s="1" t="str">
        <f>"Закрито"</f>
        <v>Закрито</v>
      </c>
      <c r="K2832" s="5">
        <v>45622</v>
      </c>
      <c r="L2832" s="1" t="s">
        <v>20</v>
      </c>
      <c r="M2832" s="1" t="s">
        <v>22</v>
      </c>
      <c r="N2832" s="5">
        <v>45622</v>
      </c>
    </row>
    <row r="2833" spans="1:14" x14ac:dyDescent="0.3">
      <c r="A2833" s="1" t="str">
        <f>"4_1028-11/2024/М"</f>
        <v>4_1028-11/2024/М</v>
      </c>
      <c r="B2833" s="6">
        <v>45622</v>
      </c>
      <c r="C2833" s="1" t="str">
        <f>"00155"</f>
        <v>00155</v>
      </c>
      <c r="D2833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33" s="1" t="str">
        <f>"03193413"</f>
        <v>03193413</v>
      </c>
      <c r="F283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33" s="1" t="str">
        <f t="shared" si="414"/>
        <v>Фізична особа</v>
      </c>
      <c r="H2833" s="1" t="s">
        <v>20</v>
      </c>
      <c r="I2833" s="1" t="s">
        <v>20</v>
      </c>
      <c r="J2833" s="1" t="str">
        <f>"На обробці в СНАП"</f>
        <v>На обробці в СНАП</v>
      </c>
      <c r="K2833" s="1" t="s">
        <v>20</v>
      </c>
      <c r="L2833" s="1" t="s">
        <v>20</v>
      </c>
      <c r="M2833" s="1" t="s">
        <v>22</v>
      </c>
      <c r="N2833" s="1" t="s">
        <v>20</v>
      </c>
    </row>
    <row r="2834" spans="1:14" x14ac:dyDescent="0.3">
      <c r="A2834" s="1" t="str">
        <f>"4_1029-11/2024/Л"</f>
        <v>4_1029-11/2024/Л</v>
      </c>
      <c r="B2834" s="6">
        <v>45622</v>
      </c>
      <c r="C2834" s="1" t="str">
        <f>"00155"</f>
        <v>00155</v>
      </c>
      <c r="D2834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34" s="1" t="str">
        <f>"03193413"</f>
        <v>03193413</v>
      </c>
      <c r="F283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34" s="1" t="str">
        <f t="shared" si="414"/>
        <v>Фізична особа</v>
      </c>
      <c r="H2834" s="1" t="s">
        <v>20</v>
      </c>
      <c r="I2834" s="1" t="s">
        <v>20</v>
      </c>
      <c r="J2834" s="1" t="str">
        <f>"Заявника сповіщено про результат"</f>
        <v>Заявника сповіщено про результат</v>
      </c>
      <c r="K2834" s="5">
        <v>45632</v>
      </c>
      <c r="L2834" s="1" t="s">
        <v>20</v>
      </c>
      <c r="M2834" s="1" t="s">
        <v>22</v>
      </c>
      <c r="N2834" s="5">
        <v>45637</v>
      </c>
    </row>
    <row r="2835" spans="1:14" x14ac:dyDescent="0.3">
      <c r="A2835" s="1" t="str">
        <f>"4_1030-11/2024/Л"</f>
        <v>4_1030-11/2024/Л</v>
      </c>
      <c r="B2835" s="6">
        <v>45622</v>
      </c>
      <c r="C2835" s="1" t="str">
        <f>"00038"</f>
        <v>00038</v>
      </c>
      <c r="D283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35" s="1" t="s">
        <v>20</v>
      </c>
      <c r="F283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35" s="1" t="str">
        <f t="shared" si="414"/>
        <v>Фізична особа</v>
      </c>
      <c r="H2835" s="1" t="s">
        <v>20</v>
      </c>
      <c r="I2835" s="1" t="s">
        <v>20</v>
      </c>
      <c r="J2835" s="1" t="str">
        <f>"Закрито"</f>
        <v>Закрито</v>
      </c>
      <c r="K2835" s="5">
        <v>45622</v>
      </c>
      <c r="L2835" s="1" t="s">
        <v>20</v>
      </c>
      <c r="M2835" s="1" t="s">
        <v>22</v>
      </c>
      <c r="N2835" s="5">
        <v>45622</v>
      </c>
    </row>
    <row r="2836" spans="1:14" x14ac:dyDescent="0.3">
      <c r="A2836" s="1" t="str">
        <f>"4_1031-11/2024/Л"</f>
        <v>4_1031-11/2024/Л</v>
      </c>
      <c r="B2836" s="6">
        <v>45622</v>
      </c>
      <c r="C2836" s="1" t="str">
        <f>"33"</f>
        <v>33</v>
      </c>
      <c r="D2836" s="2" t="str">
        <f>"33 Довідки різного характеру"</f>
        <v>33 Довідки різного характеру</v>
      </c>
      <c r="E2836" s="1" t="s">
        <v>20</v>
      </c>
      <c r="F283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36" s="1" t="str">
        <f t="shared" si="414"/>
        <v>Фізична особа</v>
      </c>
      <c r="H2836" s="1" t="s">
        <v>20</v>
      </c>
      <c r="I2836" s="1" t="s">
        <v>20</v>
      </c>
      <c r="J2836" s="1" t="str">
        <f>"Закрито"</f>
        <v>Закрито</v>
      </c>
      <c r="K2836" s="5">
        <v>45622</v>
      </c>
      <c r="L2836" s="1" t="s">
        <v>20</v>
      </c>
      <c r="M2836" s="1" t="s">
        <v>22</v>
      </c>
      <c r="N2836" s="5">
        <v>45622</v>
      </c>
    </row>
    <row r="2837" spans="1:14" x14ac:dyDescent="0.3">
      <c r="A2837" s="1" t="str">
        <f>"1_6062/2129-11/2024/П"</f>
        <v>1_6062/2129-11/2024/П</v>
      </c>
      <c r="B2837" s="6">
        <v>45623</v>
      </c>
      <c r="C2837" s="1" t="str">
        <f>"33"</f>
        <v>33</v>
      </c>
      <c r="D2837" s="2" t="str">
        <f>"33 Довідки різного характеру"</f>
        <v>33 Довідки різного характеру</v>
      </c>
      <c r="E2837" s="1" t="s">
        <v>20</v>
      </c>
      <c r="F283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37" s="1" t="str">
        <f>"Юридична особа"</f>
        <v>Юридична особа</v>
      </c>
      <c r="H2837" s="1" t="str">
        <f>"Приватний нотаріус"</f>
        <v>Приватний нотаріус</v>
      </c>
      <c r="I2837" s="1" t="s">
        <v>20</v>
      </c>
      <c r="J2837" s="1" t="str">
        <f>"Закрито"</f>
        <v>Закрито</v>
      </c>
      <c r="K2837" s="5">
        <v>45623</v>
      </c>
      <c r="L2837" s="1" t="s">
        <v>20</v>
      </c>
      <c r="M2837" s="1" t="s">
        <v>22</v>
      </c>
      <c r="N2837" s="5">
        <v>45623</v>
      </c>
    </row>
    <row r="2838" spans="1:14" x14ac:dyDescent="0.3">
      <c r="A2838" s="1" t="str">
        <f>"1_6063/2129-11/2024/Т"</f>
        <v>1_6063/2129-11/2024/Т</v>
      </c>
      <c r="B2838" s="6">
        <v>45623</v>
      </c>
      <c r="C2838" s="1" t="str">
        <f>"00038"</f>
        <v>00038</v>
      </c>
      <c r="D283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38" s="1" t="s">
        <v>20</v>
      </c>
      <c r="F283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38" s="1" t="str">
        <f t="shared" ref="G2838:G2845" si="416">"Фізична особа"</f>
        <v>Фізична особа</v>
      </c>
      <c r="H2838" s="1" t="s">
        <v>20</v>
      </c>
      <c r="I2838" s="1" t="s">
        <v>20</v>
      </c>
      <c r="J2838" s="1" t="str">
        <f>"Закрито"</f>
        <v>Закрито</v>
      </c>
      <c r="K2838" s="5">
        <v>45623</v>
      </c>
      <c r="L2838" s="1" t="s">
        <v>20</v>
      </c>
      <c r="M2838" s="1" t="s">
        <v>22</v>
      </c>
      <c r="N2838" s="5">
        <v>45623</v>
      </c>
    </row>
    <row r="2839" spans="1:14" x14ac:dyDescent="0.3">
      <c r="A2839" s="1" t="str">
        <f>"1_6064/2129-11/2024/М"</f>
        <v>1_6064/2129-11/2024/М</v>
      </c>
      <c r="B2839" s="6">
        <v>45623</v>
      </c>
      <c r="C2839" s="1" t="str">
        <f>"00038"</f>
        <v>00038</v>
      </c>
      <c r="D283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39" s="1" t="s">
        <v>20</v>
      </c>
      <c r="F283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39" s="1" t="str">
        <f t="shared" si="416"/>
        <v>Фізична особа</v>
      </c>
      <c r="H2839" s="1" t="s">
        <v>20</v>
      </c>
      <c r="I2839" s="1" t="s">
        <v>20</v>
      </c>
      <c r="J2839" s="1" t="str">
        <f>"Закрито"</f>
        <v>Закрито</v>
      </c>
      <c r="K2839" s="5">
        <v>45623</v>
      </c>
      <c r="L2839" s="1" t="s">
        <v>20</v>
      </c>
      <c r="M2839" s="1" t="s">
        <v>22</v>
      </c>
      <c r="N2839" s="5">
        <v>45623</v>
      </c>
    </row>
    <row r="2840" spans="1:14" x14ac:dyDescent="0.3">
      <c r="A2840" s="1" t="str">
        <f>"4_1306/03193413-11/2024/П"</f>
        <v>4_1306/03193413-11/2024/П</v>
      </c>
      <c r="B2840" s="6">
        <v>45623</v>
      </c>
      <c r="C2840" s="1" t="str">
        <f>"01974"</f>
        <v>01974</v>
      </c>
      <c r="D2840" s="2" t="str">
        <f>"Призначення пільги на оплату житла, комунальних послуг"</f>
        <v>Призначення пільги на оплату житла, комунальних послуг</v>
      </c>
      <c r="E2840" s="1" t="str">
        <f>"03193413"</f>
        <v>03193413</v>
      </c>
      <c r="F284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40" s="1" t="str">
        <f t="shared" si="416"/>
        <v>Фізична особа</v>
      </c>
      <c r="H2840" s="1" t="s">
        <v>20</v>
      </c>
      <c r="I2840" s="1" t="s">
        <v>20</v>
      </c>
      <c r="J2840" s="1" t="str">
        <f>"На обробці в СНАП"</f>
        <v>На обробці в СНАП</v>
      </c>
      <c r="K2840" s="1" t="s">
        <v>20</v>
      </c>
      <c r="L2840" s="1" t="s">
        <v>20</v>
      </c>
      <c r="M2840" s="1" t="s">
        <v>22</v>
      </c>
      <c r="N2840" s="1" t="s">
        <v>20</v>
      </c>
    </row>
    <row r="2841" spans="1:14" x14ac:dyDescent="0.3">
      <c r="A2841" s="1" t="str">
        <f>"20_189-11/2024/Г"</f>
        <v>20_189-11/2024/Г</v>
      </c>
      <c r="B2841" s="6">
        <v>45623</v>
      </c>
      <c r="C2841" s="1" t="str">
        <f>"00038"</f>
        <v>00038</v>
      </c>
      <c r="D284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41" s="1" t="s">
        <v>20</v>
      </c>
      <c r="F284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41" s="1" t="str">
        <f t="shared" si="416"/>
        <v>Фізична особа</v>
      </c>
      <c r="H2841" s="1" t="s">
        <v>20</v>
      </c>
      <c r="I2841" s="1" t="s">
        <v>20</v>
      </c>
      <c r="J2841" s="1" t="str">
        <f>"Закрито"</f>
        <v>Закрито</v>
      </c>
      <c r="K2841" s="5">
        <v>45623</v>
      </c>
      <c r="L2841" s="1" t="s">
        <v>20</v>
      </c>
      <c r="M2841" s="1" t="s">
        <v>22</v>
      </c>
      <c r="N2841" s="5">
        <v>45623</v>
      </c>
    </row>
    <row r="2842" spans="1:14" x14ac:dyDescent="0.3">
      <c r="A2842" s="1" t="str">
        <f>"4_1307/03193413-11/2024/Г"</f>
        <v>4_1307/03193413-11/2024/Г</v>
      </c>
      <c r="B2842" s="6">
        <v>45623</v>
      </c>
      <c r="C2842" s="1" t="str">
        <f>"01974"</f>
        <v>01974</v>
      </c>
      <c r="D2842" s="2" t="str">
        <f>"Призначення пільги на оплату житла, комунальних послуг"</f>
        <v>Призначення пільги на оплату житла, комунальних послуг</v>
      </c>
      <c r="E2842" s="1" t="str">
        <f>"03193413"</f>
        <v>03193413</v>
      </c>
      <c r="F284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42" s="1" t="str">
        <f t="shared" si="416"/>
        <v>Фізична особа</v>
      </c>
      <c r="H2842" s="1" t="s">
        <v>20</v>
      </c>
      <c r="I2842" s="1" t="s">
        <v>20</v>
      </c>
      <c r="J2842" s="1" t="str">
        <f>"На обробці в СНАП"</f>
        <v>На обробці в СНАП</v>
      </c>
      <c r="K2842" s="1" t="s">
        <v>20</v>
      </c>
      <c r="L2842" s="1" t="s">
        <v>20</v>
      </c>
      <c r="M2842" s="1" t="s">
        <v>22</v>
      </c>
      <c r="N2842" s="1" t="s">
        <v>20</v>
      </c>
    </row>
    <row r="2843" spans="1:14" x14ac:dyDescent="0.3">
      <c r="A2843" s="1" t="str">
        <f>"28_669-11/2024/Г"</f>
        <v>28_669-11/2024/Г</v>
      </c>
      <c r="B2843" s="6">
        <v>45623</v>
      </c>
      <c r="C2843" s="1" t="str">
        <f>"00242"</f>
        <v>00242</v>
      </c>
      <c r="D2843" s="2" t="str">
        <f>"Видача посвідчення особам з інвалідністю з дитинства та дітям з інвалідністю"</f>
        <v>Видача посвідчення особам з інвалідністю з дитинства та дітям з інвалідністю</v>
      </c>
      <c r="E2843" s="1" t="str">
        <f>"03193413"</f>
        <v>03193413</v>
      </c>
      <c r="F284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43" s="1" t="str">
        <f t="shared" si="416"/>
        <v>Фізична особа</v>
      </c>
      <c r="H2843" s="1" t="s">
        <v>20</v>
      </c>
      <c r="I2843" s="1" t="s">
        <v>20</v>
      </c>
      <c r="J2843" s="1" t="str">
        <f>"На обробці в СНАП"</f>
        <v>На обробці в СНАП</v>
      </c>
      <c r="K2843" s="1" t="s">
        <v>20</v>
      </c>
      <c r="L2843" s="1" t="s">
        <v>20</v>
      </c>
      <c r="M2843" s="1" t="s">
        <v>22</v>
      </c>
      <c r="N2843" s="1" t="s">
        <v>20</v>
      </c>
    </row>
    <row r="2844" spans="1:14" x14ac:dyDescent="0.3">
      <c r="A2844" s="1" t="str">
        <f>"4_1308/03193413-11/2024/Д"</f>
        <v>4_1308/03193413-11/2024/Д</v>
      </c>
      <c r="B2844" s="6">
        <v>45623</v>
      </c>
      <c r="C2844" s="1" t="str">
        <f>"00151"</f>
        <v>00151</v>
      </c>
      <c r="D2844" s="2" t="str">
        <f>"Призначення державної соціальної допомоги особам з інвалідністю з дитинства та дітям з інвалідністю"</f>
        <v>Призначення державної соціальної допомоги особам з інвалідністю з дитинства та дітям з інвалідністю</v>
      </c>
      <c r="E2844" s="1" t="str">
        <f>"03193413"</f>
        <v>03193413</v>
      </c>
      <c r="F284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44" s="1" t="str">
        <f t="shared" si="416"/>
        <v>Фізична особа</v>
      </c>
      <c r="H2844" s="1" t="s">
        <v>20</v>
      </c>
      <c r="I2844" s="1" t="s">
        <v>20</v>
      </c>
      <c r="J2844" s="1" t="str">
        <f>"Закрито"</f>
        <v>Закрито</v>
      </c>
      <c r="K2844" s="5">
        <v>45637</v>
      </c>
      <c r="L2844" s="1" t="s">
        <v>20</v>
      </c>
      <c r="M2844" s="1" t="s">
        <v>22</v>
      </c>
      <c r="N2844" s="5">
        <v>45637</v>
      </c>
    </row>
    <row r="2845" spans="1:14" x14ac:dyDescent="0.3">
      <c r="A2845" s="1" t="str">
        <f>"27_599-11/2024/Б"</f>
        <v>27_599-11/2024/Б</v>
      </c>
      <c r="B2845" s="6">
        <v>45623</v>
      </c>
      <c r="C2845" s="1" t="str">
        <f>"01974"</f>
        <v>01974</v>
      </c>
      <c r="D2845" s="2" t="str">
        <f>"Призначення пільги на оплату житла, комунальних послуг"</f>
        <v>Призначення пільги на оплату житла, комунальних послуг</v>
      </c>
      <c r="E2845" s="1" t="str">
        <f>"03193413"</f>
        <v>03193413</v>
      </c>
      <c r="F284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45" s="1" t="str">
        <f t="shared" si="416"/>
        <v>Фізична особа</v>
      </c>
      <c r="H2845" s="1" t="s">
        <v>20</v>
      </c>
      <c r="I2845" s="1" t="s">
        <v>20</v>
      </c>
      <c r="J2845" s="1" t="str">
        <f>"На обробці в СНАП"</f>
        <v>На обробці в СНАП</v>
      </c>
      <c r="K2845" s="1" t="s">
        <v>20</v>
      </c>
      <c r="L2845" s="1" t="s">
        <v>20</v>
      </c>
      <c r="M2845" s="1" t="s">
        <v>22</v>
      </c>
      <c r="N2845" s="1" t="s">
        <v>20</v>
      </c>
    </row>
    <row r="2846" spans="1:14" x14ac:dyDescent="0.3">
      <c r="A2846" s="1" t="str">
        <f>"9_575-11/2024/Р"</f>
        <v>9_575-11/2024/Р</v>
      </c>
      <c r="B2846" s="6">
        <v>45623</v>
      </c>
      <c r="C2846" s="1" t="str">
        <f>"33"</f>
        <v>33</v>
      </c>
      <c r="D2846" s="2" t="str">
        <f>"33 Довідки різного характеру"</f>
        <v>33 Довідки різного характеру</v>
      </c>
      <c r="E2846" s="1" t="s">
        <v>20</v>
      </c>
      <c r="F284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46" s="1" t="str">
        <f>"Юридична особа"</f>
        <v>Юридична особа</v>
      </c>
      <c r="H2846" s="1" t="str">
        <f>"Рогатинський районний суд"</f>
        <v>Рогатинський районний суд</v>
      </c>
      <c r="I2846" s="1" t="s">
        <v>20</v>
      </c>
      <c r="J2846" s="1" t="str">
        <f>"Закрито"</f>
        <v>Закрито</v>
      </c>
      <c r="K2846" s="5">
        <v>45623</v>
      </c>
      <c r="L2846" s="1" t="s">
        <v>20</v>
      </c>
      <c r="M2846" s="1" t="s">
        <v>22</v>
      </c>
      <c r="N2846" s="5">
        <v>45623</v>
      </c>
    </row>
    <row r="2847" spans="1:14" x14ac:dyDescent="0.3">
      <c r="A2847" s="1" t="str">
        <f>"4_1309/03193413-11/2024/Д"</f>
        <v>4_1309/03193413-11/2024/Д</v>
      </c>
      <c r="B2847" s="6">
        <v>45623</v>
      </c>
      <c r="C2847" s="1" t="str">
        <f>"00242"</f>
        <v>00242</v>
      </c>
      <c r="D2847" s="2" t="str">
        <f>"Видача посвідчення особам з інвалідністю з дитинства та дітям з інвалідністю"</f>
        <v>Видача посвідчення особам з інвалідністю з дитинства та дітям з інвалідністю</v>
      </c>
      <c r="E2847" s="1" t="str">
        <f>"03193413"</f>
        <v>03193413</v>
      </c>
      <c r="F284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47" s="1" t="str">
        <f>"Фізична особа"</f>
        <v>Фізична особа</v>
      </c>
      <c r="H2847" s="1" t="s">
        <v>20</v>
      </c>
      <c r="I2847" s="1" t="s">
        <v>20</v>
      </c>
      <c r="J2847" s="1" t="str">
        <f>"На обробці в СНАП"</f>
        <v>На обробці в СНАП</v>
      </c>
      <c r="K2847" s="1" t="s">
        <v>20</v>
      </c>
      <c r="L2847" s="1" t="s">
        <v>20</v>
      </c>
      <c r="M2847" s="1" t="s">
        <v>22</v>
      </c>
      <c r="N2847" s="1" t="s">
        <v>20</v>
      </c>
    </row>
    <row r="2848" spans="1:14" x14ac:dyDescent="0.3">
      <c r="A2848" s="1" t="str">
        <f>"4_1310/03193413-11/2024/Г"</f>
        <v>4_1310/03193413-11/2024/Г</v>
      </c>
      <c r="B2848" s="6">
        <v>45623</v>
      </c>
      <c r="C2848" s="1" t="str">
        <f>"00155"</f>
        <v>00155</v>
      </c>
      <c r="D2848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48" s="1" t="str">
        <f>"03193413"</f>
        <v>03193413</v>
      </c>
      <c r="F284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48" s="1" t="str">
        <f>"Фізична особа"</f>
        <v>Фізична особа</v>
      </c>
      <c r="H2848" s="1" t="s">
        <v>20</v>
      </c>
      <c r="I2848" s="1" t="s">
        <v>20</v>
      </c>
      <c r="J2848" s="1" t="str">
        <f t="shared" ref="J2848:J2871" si="417">"Закрито"</f>
        <v>Закрито</v>
      </c>
      <c r="K2848" s="5">
        <v>45637</v>
      </c>
      <c r="L2848" s="1" t="s">
        <v>20</v>
      </c>
      <c r="M2848" s="1" t="s">
        <v>22</v>
      </c>
      <c r="N2848" s="5">
        <v>45637</v>
      </c>
    </row>
    <row r="2849" spans="1:14" x14ac:dyDescent="0.3">
      <c r="A2849" s="1" t="str">
        <f>"5_514/2129-11/2024/П"</f>
        <v>5_514/2129-11/2024/П</v>
      </c>
      <c r="B2849" s="6">
        <v>45623</v>
      </c>
      <c r="C2849" s="1" t="str">
        <f>"00054"</f>
        <v>00054</v>
      </c>
      <c r="D2849" s="2" t="s">
        <v>2</v>
      </c>
      <c r="E2849" s="1" t="s">
        <v>20</v>
      </c>
      <c r="F284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49" s="1" t="str">
        <f>"Юридична особа"</f>
        <v>Юридична особа</v>
      </c>
      <c r="H2849" s="1" t="str">
        <f>"ПРИВАТНЕ ПІДПРИЄМСТВО ""ПРЕСТИЖ ТРАНС"""</f>
        <v>ПРИВАТНЕ ПІДПРИЄМСТВО "ПРЕСТИЖ ТРАНС"</v>
      </c>
      <c r="I2849" s="1" t="str">
        <f>"42010681"</f>
        <v>42010681</v>
      </c>
      <c r="J2849" s="1" t="str">
        <f t="shared" si="417"/>
        <v>Закрито</v>
      </c>
      <c r="K2849" s="5">
        <v>45623</v>
      </c>
      <c r="L2849" s="1" t="str">
        <f>"910.0"</f>
        <v>910.0</v>
      </c>
      <c r="M2849" s="1" t="s">
        <v>22</v>
      </c>
      <c r="N2849" s="5">
        <v>45623</v>
      </c>
    </row>
    <row r="2850" spans="1:14" x14ac:dyDescent="0.3">
      <c r="A2850" s="1" t="str">
        <f>"34_398-11/2024/Б"</f>
        <v>34_398-11/2024/Б</v>
      </c>
      <c r="B2850" s="6">
        <v>45623</v>
      </c>
      <c r="C2850" s="1" t="str">
        <f>"00155"</f>
        <v>00155</v>
      </c>
      <c r="D2850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50" s="1" t="str">
        <f>"03193413"</f>
        <v>03193413</v>
      </c>
      <c r="F285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50" s="1" t="str">
        <f>"Фізична особа"</f>
        <v>Фізична особа</v>
      </c>
      <c r="H2850" s="1" t="s">
        <v>20</v>
      </c>
      <c r="I2850" s="1" t="s">
        <v>20</v>
      </c>
      <c r="J2850" s="1" t="str">
        <f t="shared" si="417"/>
        <v>Закрито</v>
      </c>
      <c r="K2850" s="5">
        <v>45656</v>
      </c>
      <c r="L2850" s="1" t="s">
        <v>20</v>
      </c>
      <c r="M2850" s="1" t="s">
        <v>22</v>
      </c>
      <c r="N2850" s="5">
        <v>45657</v>
      </c>
    </row>
    <row r="2851" spans="1:14" x14ac:dyDescent="0.3">
      <c r="A2851" s="1" t="str">
        <f>"5_515/2129-11/2024/Т"</f>
        <v>5_515/2129-11/2024/Т</v>
      </c>
      <c r="B2851" s="6">
        <v>45623</v>
      </c>
      <c r="C2851" s="1" t="str">
        <f>"00054"</f>
        <v>00054</v>
      </c>
      <c r="D2851" s="2" t="s">
        <v>2</v>
      </c>
      <c r="E2851" s="1" t="s">
        <v>20</v>
      </c>
      <c r="F28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51" s="1" t="str">
        <f>"Юридична особа"</f>
        <v>Юридична особа</v>
      </c>
      <c r="H2851" s="1" t="str">
        <f>"ТОВАРИСТВО З ОБМЕЖЕНОЮ ВІДПОВІДАЛЬНІСТЮ АГРОФІРМА ""КЛІЩІВНА"""</f>
        <v>ТОВАРИСТВО З ОБМЕЖЕНОЮ ВІДПОВІДАЛЬНІСТЮ АГРОФІРМА "КЛІЩІВНА"</v>
      </c>
      <c r="I2851" s="1" t="str">
        <f>"33260217"</f>
        <v>33260217</v>
      </c>
      <c r="J2851" s="1" t="str">
        <f t="shared" si="417"/>
        <v>Закрито</v>
      </c>
      <c r="K2851" s="5">
        <v>45623</v>
      </c>
      <c r="L2851" s="1" t="str">
        <f>"910.0"</f>
        <v>910.0</v>
      </c>
      <c r="M2851" s="1" t="s">
        <v>22</v>
      </c>
      <c r="N2851" s="5">
        <v>45623</v>
      </c>
    </row>
    <row r="2852" spans="1:14" x14ac:dyDescent="0.3">
      <c r="A2852" s="1" t="str">
        <f>"5_516/2129-11/2024/Т"</f>
        <v>5_516/2129-11/2024/Т</v>
      </c>
      <c r="B2852" s="6">
        <v>45623</v>
      </c>
      <c r="C2852" s="1" t="str">
        <f>"00050"</f>
        <v>00050</v>
      </c>
      <c r="D2852" s="2" t="str">
        <f>"Державна реєстрація створення юридичної особи (крім громадського формування та релігійної організації)"</f>
        <v>Державна реєстрація створення юридичної особи (крім громадського формування та релігійної організації)</v>
      </c>
      <c r="E2852" s="1" t="s">
        <v>20</v>
      </c>
      <c r="F28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52" s="1" t="str">
        <f>"Юридична особа"</f>
        <v>Юридична особа</v>
      </c>
      <c r="H2852" s="1" t="str">
        <f>"ТОВАРИСТВО З ОБМЕЖЕНОЮ ВІДПОВІДАЛЬНІСТЮ ""ВІХИ АГРО"""</f>
        <v>ТОВАРИСТВО З ОБМЕЖЕНОЮ ВІДПОВІДАЛЬНІСТЮ "ВІХИ АГРО"</v>
      </c>
      <c r="I2852" s="1" t="str">
        <f>"45670257"</f>
        <v>45670257</v>
      </c>
      <c r="J2852" s="1" t="str">
        <f t="shared" si="417"/>
        <v>Закрито</v>
      </c>
      <c r="K2852" s="5">
        <v>45623</v>
      </c>
      <c r="L2852" s="1" t="s">
        <v>20</v>
      </c>
      <c r="M2852" s="1" t="s">
        <v>22</v>
      </c>
      <c r="N2852" s="5">
        <v>45623</v>
      </c>
    </row>
    <row r="2853" spans="1:14" x14ac:dyDescent="0.3">
      <c r="A2853" s="1" t="str">
        <f>"3_884-11/2024/С"</f>
        <v>3_884-11/2024/С</v>
      </c>
      <c r="B2853" s="6">
        <v>45623</v>
      </c>
      <c r="C2853" s="1" t="str">
        <f>"00133"</f>
        <v>00133</v>
      </c>
      <c r="D2853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2853" s="1" t="str">
        <f>"03193413"</f>
        <v>03193413</v>
      </c>
      <c r="F285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53" s="1" t="str">
        <f t="shared" ref="G2853:G2858" si="418">"Фізична особа"</f>
        <v>Фізична особа</v>
      </c>
      <c r="H2853" s="1" t="s">
        <v>20</v>
      </c>
      <c r="I2853" s="1" t="s">
        <v>20</v>
      </c>
      <c r="J2853" s="1" t="str">
        <f t="shared" si="417"/>
        <v>Закрито</v>
      </c>
      <c r="K2853" s="5">
        <v>45636</v>
      </c>
      <c r="L2853" s="1" t="s">
        <v>20</v>
      </c>
      <c r="M2853" s="1" t="s">
        <v>22</v>
      </c>
      <c r="N2853" s="5">
        <v>45636</v>
      </c>
    </row>
    <row r="2854" spans="1:14" x14ac:dyDescent="0.3">
      <c r="A2854" s="1" t="str">
        <f>"9_576-11/2024/С"</f>
        <v>9_576-11/2024/С</v>
      </c>
      <c r="B2854" s="6">
        <v>45623</v>
      </c>
      <c r="C2854" s="1" t="str">
        <f>"33"</f>
        <v>33</v>
      </c>
      <c r="D2854" s="2" t="str">
        <f>"33 Довідки різного характеру"</f>
        <v>33 Довідки різного характеру</v>
      </c>
      <c r="E2854" s="1" t="s">
        <v>20</v>
      </c>
      <c r="F2854" s="1" t="str">
        <f t="shared" ref="F2854:F2868" si="419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54" s="1" t="str">
        <f t="shared" si="418"/>
        <v>Фізична особа</v>
      </c>
      <c r="H2854" s="1" t="s">
        <v>20</v>
      </c>
      <c r="I2854" s="1" t="s">
        <v>20</v>
      </c>
      <c r="J2854" s="1" t="str">
        <f t="shared" si="417"/>
        <v>Закрито</v>
      </c>
      <c r="K2854" s="5">
        <v>45623</v>
      </c>
      <c r="L2854" s="1" t="s">
        <v>20</v>
      </c>
      <c r="M2854" s="1" t="s">
        <v>22</v>
      </c>
      <c r="N2854" s="5">
        <v>45623</v>
      </c>
    </row>
    <row r="2855" spans="1:14" x14ac:dyDescent="0.3">
      <c r="A2855" s="1" t="str">
        <f>"14_1034-11/2024/К"</f>
        <v>14_1034-11/2024/К</v>
      </c>
      <c r="B2855" s="6">
        <v>45623</v>
      </c>
      <c r="C2855" s="1" t="str">
        <f>"01841"</f>
        <v>01841</v>
      </c>
      <c r="D2855" s="2" t="str">
        <f>"Видача довідки про реєстрацію та проживання особи станом на 15.04.1991 року"</f>
        <v>Видача довідки про реєстрацію та проживання особи станом на 15.04.1991 року</v>
      </c>
      <c r="E2855" s="1" t="s">
        <v>20</v>
      </c>
      <c r="F2855" s="1" t="str">
        <f t="shared" si="419"/>
        <v>Центр надання адміністративних послуг Рогатинської міської ради</v>
      </c>
      <c r="G2855" s="1" t="str">
        <f t="shared" si="418"/>
        <v>Фізична особа</v>
      </c>
      <c r="H2855" s="1" t="s">
        <v>20</v>
      </c>
      <c r="I2855" s="1" t="s">
        <v>20</v>
      </c>
      <c r="J2855" s="1" t="str">
        <f t="shared" si="417"/>
        <v>Закрито</v>
      </c>
      <c r="K2855" s="5">
        <v>45623</v>
      </c>
      <c r="L2855" s="1" t="s">
        <v>20</v>
      </c>
      <c r="M2855" s="1" t="s">
        <v>22</v>
      </c>
      <c r="N2855" s="5">
        <v>45623</v>
      </c>
    </row>
    <row r="2856" spans="1:14" x14ac:dyDescent="0.3">
      <c r="A2856" s="1" t="str">
        <f>"14_1035-11/2024/К"</f>
        <v>14_1035-11/2024/К</v>
      </c>
      <c r="B2856" s="6">
        <v>45623</v>
      </c>
      <c r="C2856" s="1" t="str">
        <f>"33"</f>
        <v>33</v>
      </c>
      <c r="D2856" s="2" t="str">
        <f>"33 Довідки різного характеру"</f>
        <v>33 Довідки різного характеру</v>
      </c>
      <c r="E2856" s="1" t="s">
        <v>20</v>
      </c>
      <c r="F2856" s="1" t="str">
        <f t="shared" si="419"/>
        <v>Центр надання адміністративних послуг Рогатинської міської ради</v>
      </c>
      <c r="G2856" s="1" t="str">
        <f t="shared" si="418"/>
        <v>Фізична особа</v>
      </c>
      <c r="H2856" s="1" t="s">
        <v>20</v>
      </c>
      <c r="I2856" s="1" t="s">
        <v>20</v>
      </c>
      <c r="J2856" s="1" t="str">
        <f t="shared" si="417"/>
        <v>Закрито</v>
      </c>
      <c r="K2856" s="5">
        <v>45623</v>
      </c>
      <c r="L2856" s="1" t="s">
        <v>20</v>
      </c>
      <c r="M2856" s="1" t="s">
        <v>22</v>
      </c>
      <c r="N2856" s="5">
        <v>45623</v>
      </c>
    </row>
    <row r="2857" spans="1:14" x14ac:dyDescent="0.3">
      <c r="A2857" s="1" t="str">
        <f>"14_1036-11/2024/К"</f>
        <v>14_1036-11/2024/К</v>
      </c>
      <c r="B2857" s="6">
        <v>45623</v>
      </c>
      <c r="C2857" s="1" t="str">
        <f>"00038"</f>
        <v>00038</v>
      </c>
      <c r="D285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57" s="1" t="s">
        <v>20</v>
      </c>
      <c r="F2857" s="1" t="str">
        <f t="shared" si="419"/>
        <v>Центр надання адміністративних послуг Рогатинської міської ради</v>
      </c>
      <c r="G2857" s="1" t="str">
        <f t="shared" si="418"/>
        <v>Фізична особа</v>
      </c>
      <c r="H2857" s="1" t="s">
        <v>20</v>
      </c>
      <c r="I2857" s="1" t="s">
        <v>20</v>
      </c>
      <c r="J2857" s="1" t="str">
        <f t="shared" si="417"/>
        <v>Закрито</v>
      </c>
      <c r="K2857" s="5">
        <v>45623</v>
      </c>
      <c r="L2857" s="1" t="s">
        <v>20</v>
      </c>
      <c r="M2857" s="1" t="s">
        <v>22</v>
      </c>
      <c r="N2857" s="5">
        <v>45623</v>
      </c>
    </row>
    <row r="2858" spans="1:14" x14ac:dyDescent="0.3">
      <c r="A2858" s="1" t="str">
        <f>"9_577-11/2024/С"</f>
        <v>9_577-11/2024/С</v>
      </c>
      <c r="B2858" s="6">
        <v>45623</v>
      </c>
      <c r="C2858" s="1" t="str">
        <f>"00038"</f>
        <v>00038</v>
      </c>
      <c r="D285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58" s="1" t="s">
        <v>20</v>
      </c>
      <c r="F2858" s="1" t="str">
        <f t="shared" si="419"/>
        <v>Центр надання адміністративних послуг Рогатинської міської ради</v>
      </c>
      <c r="G2858" s="1" t="str">
        <f t="shared" si="418"/>
        <v>Фізична особа</v>
      </c>
      <c r="H2858" s="1" t="s">
        <v>20</v>
      </c>
      <c r="I2858" s="1" t="s">
        <v>20</v>
      </c>
      <c r="J2858" s="1" t="str">
        <f t="shared" si="417"/>
        <v>Закрито</v>
      </c>
      <c r="K2858" s="5">
        <v>45623</v>
      </c>
      <c r="L2858" s="1" t="s">
        <v>20</v>
      </c>
      <c r="M2858" s="1" t="s">
        <v>22</v>
      </c>
      <c r="N2858" s="5">
        <v>45623</v>
      </c>
    </row>
    <row r="2859" spans="1:14" x14ac:dyDescent="0.3">
      <c r="A2859" s="1" t="str">
        <f>"3_885-11/2024/п"</f>
        <v>3_885-11/2024/п</v>
      </c>
      <c r="B2859" s="6">
        <v>45623</v>
      </c>
      <c r="C2859" s="1" t="str">
        <f>"00038"</f>
        <v>00038</v>
      </c>
      <c r="D285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59" s="1" t="s">
        <v>20</v>
      </c>
      <c r="F2859" s="1" t="str">
        <f t="shared" si="419"/>
        <v>Центр надання адміністративних послуг Рогатинської міської ради</v>
      </c>
      <c r="G2859" s="1" t="str">
        <f>"Юридична особа"</f>
        <v>Юридична особа</v>
      </c>
      <c r="H2859" s="1" t="str">
        <f>"приватний нотаріус Дзера Мар'яна Любомирівна"</f>
        <v>приватний нотаріус Дзера Мар'яна Любомирівна</v>
      </c>
      <c r="I2859" s="1" t="s">
        <v>20</v>
      </c>
      <c r="J2859" s="1" t="str">
        <f t="shared" si="417"/>
        <v>Закрито</v>
      </c>
      <c r="K2859" s="5">
        <v>45623</v>
      </c>
      <c r="L2859" s="1" t="s">
        <v>20</v>
      </c>
      <c r="M2859" s="1" t="s">
        <v>22</v>
      </c>
      <c r="N2859" s="5">
        <v>45623</v>
      </c>
    </row>
    <row r="2860" spans="1:14" x14ac:dyDescent="0.3">
      <c r="A2860" s="1" t="str">
        <f>"27_600-11/2024/Г"</f>
        <v>27_600-11/2024/Г</v>
      </c>
      <c r="B2860" s="6">
        <v>45623</v>
      </c>
      <c r="C2860" s="1" t="str">
        <f>"33"</f>
        <v>33</v>
      </c>
      <c r="D2860" s="2" t="str">
        <f>"33 Довідки різного характеру"</f>
        <v>33 Довідки різного характеру</v>
      </c>
      <c r="E2860" s="1" t="s">
        <v>20</v>
      </c>
      <c r="F2860" s="1" t="str">
        <f t="shared" si="419"/>
        <v>Центр надання адміністративних послуг Рогатинської міської ради</v>
      </c>
      <c r="G2860" s="1" t="str">
        <f t="shared" ref="G2860:G2880" si="420">"Фізична особа"</f>
        <v>Фізична особа</v>
      </c>
      <c r="H2860" s="1" t="s">
        <v>20</v>
      </c>
      <c r="I2860" s="1" t="s">
        <v>20</v>
      </c>
      <c r="J2860" s="1" t="str">
        <f t="shared" si="417"/>
        <v>Закрито</v>
      </c>
      <c r="K2860" s="5">
        <v>45623</v>
      </c>
      <c r="L2860" s="1" t="s">
        <v>20</v>
      </c>
      <c r="M2860" s="1" t="s">
        <v>22</v>
      </c>
      <c r="N2860" s="5">
        <v>45623</v>
      </c>
    </row>
    <row r="2861" spans="1:14" x14ac:dyDescent="0.3">
      <c r="A2861" s="1" t="str">
        <f>"27_601-11/2024/Г"</f>
        <v>27_601-11/2024/Г</v>
      </c>
      <c r="B2861" s="6">
        <v>45623</v>
      </c>
      <c r="C2861" s="1" t="str">
        <f>"00038"</f>
        <v>00038</v>
      </c>
      <c r="D286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61" s="1" t="s">
        <v>20</v>
      </c>
      <c r="F2861" s="1" t="str">
        <f t="shared" si="419"/>
        <v>Центр надання адміністративних послуг Рогатинської міської ради</v>
      </c>
      <c r="G2861" s="1" t="str">
        <f t="shared" si="420"/>
        <v>Фізична особа</v>
      </c>
      <c r="H2861" s="1" t="s">
        <v>20</v>
      </c>
      <c r="I2861" s="1" t="s">
        <v>20</v>
      </c>
      <c r="J2861" s="1" t="str">
        <f t="shared" si="417"/>
        <v>Закрито</v>
      </c>
      <c r="K2861" s="5">
        <v>45623</v>
      </c>
      <c r="L2861" s="1" t="s">
        <v>20</v>
      </c>
      <c r="M2861" s="1" t="s">
        <v>22</v>
      </c>
      <c r="N2861" s="5">
        <v>45623</v>
      </c>
    </row>
    <row r="2862" spans="1:14" x14ac:dyDescent="0.3">
      <c r="A2862" s="1" t="str">
        <f>"27_602-11/2024/Г"</f>
        <v>27_602-11/2024/Г</v>
      </c>
      <c r="B2862" s="6">
        <v>45623</v>
      </c>
      <c r="C2862" s="1" t="str">
        <f>"00038"</f>
        <v>00038</v>
      </c>
      <c r="D286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62" s="1" t="s">
        <v>20</v>
      </c>
      <c r="F2862" s="1" t="str">
        <f t="shared" si="419"/>
        <v>Центр надання адміністративних послуг Рогатинської міської ради</v>
      </c>
      <c r="G2862" s="1" t="str">
        <f t="shared" si="420"/>
        <v>Фізична особа</v>
      </c>
      <c r="H2862" s="1" t="s">
        <v>20</v>
      </c>
      <c r="I2862" s="1" t="s">
        <v>20</v>
      </c>
      <c r="J2862" s="1" t="str">
        <f t="shared" si="417"/>
        <v>Закрито</v>
      </c>
      <c r="K2862" s="5">
        <v>45623</v>
      </c>
      <c r="L2862" s="1" t="s">
        <v>20</v>
      </c>
      <c r="M2862" s="1" t="s">
        <v>22</v>
      </c>
      <c r="N2862" s="5">
        <v>45623</v>
      </c>
    </row>
    <row r="2863" spans="1:14" x14ac:dyDescent="0.3">
      <c r="A2863" s="1" t="str">
        <f>"14_1037-11/2024/З"</f>
        <v>14_1037-11/2024/З</v>
      </c>
      <c r="B2863" s="6">
        <v>45623</v>
      </c>
      <c r="C2863" s="1" t="str">
        <f>"00038"</f>
        <v>00038</v>
      </c>
      <c r="D286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63" s="1" t="s">
        <v>20</v>
      </c>
      <c r="F2863" s="1" t="str">
        <f t="shared" si="419"/>
        <v>Центр надання адміністративних послуг Рогатинської міської ради</v>
      </c>
      <c r="G2863" s="1" t="str">
        <f t="shared" si="420"/>
        <v>Фізична особа</v>
      </c>
      <c r="H2863" s="1" t="s">
        <v>20</v>
      </c>
      <c r="I2863" s="1" t="s">
        <v>20</v>
      </c>
      <c r="J2863" s="1" t="str">
        <f t="shared" si="417"/>
        <v>Закрито</v>
      </c>
      <c r="K2863" s="5">
        <v>45623</v>
      </c>
      <c r="L2863" s="1" t="s">
        <v>20</v>
      </c>
      <c r="M2863" s="1" t="s">
        <v>22</v>
      </c>
      <c r="N2863" s="5">
        <v>45623</v>
      </c>
    </row>
    <row r="2864" spans="1:14" x14ac:dyDescent="0.3">
      <c r="A2864" s="1" t="str">
        <f>"27_603-11/2024/Г"</f>
        <v>27_603-11/2024/Г</v>
      </c>
      <c r="B2864" s="6">
        <v>45623</v>
      </c>
      <c r="C2864" s="1" t="str">
        <f>"01841"</f>
        <v>01841</v>
      </c>
      <c r="D2864" s="2" t="str">
        <f>"Видача довідки про реєстрацію та проживання особи станом на 15.04.1991 року"</f>
        <v>Видача довідки про реєстрацію та проживання особи станом на 15.04.1991 року</v>
      </c>
      <c r="E2864" s="1" t="s">
        <v>20</v>
      </c>
      <c r="F2864" s="1" t="str">
        <f t="shared" si="419"/>
        <v>Центр надання адміністративних послуг Рогатинської міської ради</v>
      </c>
      <c r="G2864" s="1" t="str">
        <f t="shared" si="420"/>
        <v>Фізична особа</v>
      </c>
      <c r="H2864" s="1" t="s">
        <v>20</v>
      </c>
      <c r="I2864" s="1" t="s">
        <v>20</v>
      </c>
      <c r="J2864" s="1" t="str">
        <f t="shared" si="417"/>
        <v>Закрито</v>
      </c>
      <c r="K2864" s="5">
        <v>45623</v>
      </c>
      <c r="L2864" s="1" t="s">
        <v>20</v>
      </c>
      <c r="M2864" s="1" t="s">
        <v>22</v>
      </c>
      <c r="N2864" s="5">
        <v>45623</v>
      </c>
    </row>
    <row r="2865" spans="1:14" x14ac:dyDescent="0.3">
      <c r="A2865" s="1" t="str">
        <f>"1_6065/2129-11/2024/Д"</f>
        <v>1_6065/2129-11/2024/Д</v>
      </c>
      <c r="B2865" s="6">
        <v>45623</v>
      </c>
      <c r="C2865" s="1" t="str">
        <f>"00038"</f>
        <v>00038</v>
      </c>
      <c r="D286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65" s="1" t="s">
        <v>20</v>
      </c>
      <c r="F2865" s="1" t="str">
        <f t="shared" si="419"/>
        <v>Центр надання адміністративних послуг Рогатинської міської ради</v>
      </c>
      <c r="G2865" s="1" t="str">
        <f t="shared" si="420"/>
        <v>Фізична особа</v>
      </c>
      <c r="H2865" s="1" t="s">
        <v>20</v>
      </c>
      <c r="I2865" s="1" t="s">
        <v>20</v>
      </c>
      <c r="J2865" s="1" t="str">
        <f t="shared" si="417"/>
        <v>Закрито</v>
      </c>
      <c r="K2865" s="5">
        <v>45623</v>
      </c>
      <c r="L2865" s="1" t="s">
        <v>20</v>
      </c>
      <c r="M2865" s="1" t="s">
        <v>22</v>
      </c>
      <c r="N2865" s="5">
        <v>45623</v>
      </c>
    </row>
    <row r="2866" spans="1:14" x14ac:dyDescent="0.3">
      <c r="A2866" s="1" t="str">
        <f>"1_6066/2129-11/2024/І"</f>
        <v>1_6066/2129-11/2024/І</v>
      </c>
      <c r="B2866" s="6">
        <v>45623</v>
      </c>
      <c r="C2866" s="1" t="str">
        <f>"00038"</f>
        <v>00038</v>
      </c>
      <c r="D286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66" s="1" t="s">
        <v>20</v>
      </c>
      <c r="F2866" s="1" t="str">
        <f t="shared" si="419"/>
        <v>Центр надання адміністративних послуг Рогатинської міської ради</v>
      </c>
      <c r="G2866" s="1" t="str">
        <f t="shared" si="420"/>
        <v>Фізична особа</v>
      </c>
      <c r="H2866" s="1" t="s">
        <v>20</v>
      </c>
      <c r="I2866" s="1" t="s">
        <v>20</v>
      </c>
      <c r="J2866" s="1" t="str">
        <f t="shared" si="417"/>
        <v>Закрито</v>
      </c>
      <c r="K2866" s="5">
        <v>45623</v>
      </c>
      <c r="L2866" s="1" t="s">
        <v>20</v>
      </c>
      <c r="M2866" s="1" t="s">
        <v>22</v>
      </c>
      <c r="N2866" s="5">
        <v>45623</v>
      </c>
    </row>
    <row r="2867" spans="1:14" x14ac:dyDescent="0.3">
      <c r="A2867" s="1" t="str">
        <f>"1_6067/2129-11/2024/М"</f>
        <v>1_6067/2129-11/2024/М</v>
      </c>
      <c r="B2867" s="6">
        <v>45623</v>
      </c>
      <c r="C2867" s="1" t="str">
        <f>"00038"</f>
        <v>00038</v>
      </c>
      <c r="D286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67" s="1" t="s">
        <v>20</v>
      </c>
      <c r="F2867" s="1" t="str">
        <f t="shared" si="419"/>
        <v>Центр надання адміністративних послуг Рогатинської міської ради</v>
      </c>
      <c r="G2867" s="1" t="str">
        <f t="shared" si="420"/>
        <v>Фізична особа</v>
      </c>
      <c r="H2867" s="1" t="s">
        <v>20</v>
      </c>
      <c r="I2867" s="1" t="s">
        <v>20</v>
      </c>
      <c r="J2867" s="1" t="str">
        <f t="shared" si="417"/>
        <v>Закрито</v>
      </c>
      <c r="K2867" s="5">
        <v>45623</v>
      </c>
      <c r="L2867" s="1" t="s">
        <v>20</v>
      </c>
      <c r="M2867" s="1" t="s">
        <v>22</v>
      </c>
      <c r="N2867" s="5">
        <v>45623</v>
      </c>
    </row>
    <row r="2868" spans="1:14" x14ac:dyDescent="0.3">
      <c r="A2868" s="1" t="str">
        <f>"1_6068/2129-11/2024/М"</f>
        <v>1_6068/2129-11/2024/М</v>
      </c>
      <c r="B2868" s="6">
        <v>45623</v>
      </c>
      <c r="C2868" s="1" t="str">
        <f>"00038"</f>
        <v>00038</v>
      </c>
      <c r="D286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68" s="1" t="s">
        <v>20</v>
      </c>
      <c r="F2868" s="1" t="str">
        <f t="shared" si="419"/>
        <v>Центр надання адміністративних послуг Рогатинської міської ради</v>
      </c>
      <c r="G2868" s="1" t="str">
        <f t="shared" si="420"/>
        <v>Фізична особа</v>
      </c>
      <c r="H2868" s="1" t="s">
        <v>20</v>
      </c>
      <c r="I2868" s="1" t="s">
        <v>20</v>
      </c>
      <c r="J2868" s="1" t="str">
        <f t="shared" si="417"/>
        <v>Закрито</v>
      </c>
      <c r="K2868" s="5">
        <v>45623</v>
      </c>
      <c r="L2868" s="1" t="s">
        <v>20</v>
      </c>
      <c r="M2868" s="1" t="s">
        <v>22</v>
      </c>
      <c r="N2868" s="5">
        <v>45623</v>
      </c>
    </row>
    <row r="2869" spans="1:14" x14ac:dyDescent="0.3">
      <c r="A2869" s="1" t="str">
        <f>"28_670-11/2024/Н"</f>
        <v>28_670-11/2024/Н</v>
      </c>
      <c r="B2869" s="6">
        <v>45623</v>
      </c>
      <c r="C2869" s="1" t="str">
        <f>"00155"</f>
        <v>00155</v>
      </c>
      <c r="D2869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69" s="1" t="str">
        <f>"03193413"</f>
        <v>03193413</v>
      </c>
      <c r="F286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69" s="1" t="str">
        <f t="shared" si="420"/>
        <v>Фізична особа</v>
      </c>
      <c r="H2869" s="1" t="s">
        <v>20</v>
      </c>
      <c r="I2869" s="1" t="s">
        <v>20</v>
      </c>
      <c r="J2869" s="1" t="str">
        <f t="shared" si="417"/>
        <v>Закрито</v>
      </c>
      <c r="K2869" s="5">
        <v>45631</v>
      </c>
      <c r="L2869" s="1" t="s">
        <v>20</v>
      </c>
      <c r="M2869" s="1" t="s">
        <v>22</v>
      </c>
      <c r="N2869" s="5">
        <v>45631</v>
      </c>
    </row>
    <row r="2870" spans="1:14" x14ac:dyDescent="0.3">
      <c r="A2870" s="1" t="str">
        <f>"1_6069/2129-11/2024/К"</f>
        <v>1_6069/2129-11/2024/К</v>
      </c>
      <c r="B2870" s="6">
        <v>45623</v>
      </c>
      <c r="C2870" s="1" t="str">
        <f>"00038"</f>
        <v>00038</v>
      </c>
      <c r="D287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70" s="1" t="s">
        <v>20</v>
      </c>
      <c r="F287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70" s="1" t="str">
        <f t="shared" si="420"/>
        <v>Фізична особа</v>
      </c>
      <c r="H2870" s="1" t="s">
        <v>20</v>
      </c>
      <c r="I2870" s="1" t="s">
        <v>20</v>
      </c>
      <c r="J2870" s="1" t="str">
        <f t="shared" si="417"/>
        <v>Закрито</v>
      </c>
      <c r="K2870" s="5">
        <v>45623</v>
      </c>
      <c r="L2870" s="1" t="s">
        <v>20</v>
      </c>
      <c r="M2870" s="1" t="s">
        <v>22</v>
      </c>
      <c r="N2870" s="5">
        <v>45623</v>
      </c>
    </row>
    <row r="2871" spans="1:14" x14ac:dyDescent="0.3">
      <c r="A2871" s="1" t="str">
        <f>"1_6070/2129-11/2024/М"</f>
        <v>1_6070/2129-11/2024/М</v>
      </c>
      <c r="B2871" s="6">
        <v>45623</v>
      </c>
      <c r="C2871" s="1" t="str">
        <f>"00038"</f>
        <v>00038</v>
      </c>
      <c r="D287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71" s="1" t="s">
        <v>20</v>
      </c>
      <c r="F287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71" s="1" t="str">
        <f t="shared" si="420"/>
        <v>Фізична особа</v>
      </c>
      <c r="H2871" s="1" t="s">
        <v>20</v>
      </c>
      <c r="I2871" s="1" t="s">
        <v>20</v>
      </c>
      <c r="J2871" s="1" t="str">
        <f t="shared" si="417"/>
        <v>Закрито</v>
      </c>
      <c r="K2871" s="5">
        <v>45623</v>
      </c>
      <c r="L2871" s="1" t="s">
        <v>20</v>
      </c>
      <c r="M2871" s="1" t="s">
        <v>22</v>
      </c>
      <c r="N2871" s="5">
        <v>45623</v>
      </c>
    </row>
    <row r="2872" spans="1:14" x14ac:dyDescent="0.3">
      <c r="A2872" s="1" t="str">
        <f>"9_1725/04054323-11/2024/М"</f>
        <v>9_1725/04054323-11/2024/М</v>
      </c>
      <c r="B2872" s="6">
        <v>45623</v>
      </c>
      <c r="C2872" s="1" t="str">
        <f>"01-1"</f>
        <v>01-1</v>
      </c>
      <c r="D2872" s="2" t="s">
        <v>0</v>
      </c>
      <c r="E2872" s="1" t="str">
        <f>"04054323"</f>
        <v>04054323</v>
      </c>
      <c r="F2872" s="1" t="str">
        <f>"Рогатинська міська рада"</f>
        <v>Рогатинська міська рада</v>
      </c>
      <c r="G2872" s="1" t="str">
        <f t="shared" si="420"/>
        <v>Фізична особа</v>
      </c>
      <c r="H2872" s="1" t="s">
        <v>20</v>
      </c>
      <c r="I2872" s="1" t="s">
        <v>20</v>
      </c>
      <c r="J2872" s="1" t="str">
        <f>"На обробці в СНАП"</f>
        <v>На обробці в СНАП</v>
      </c>
      <c r="K2872" s="1" t="s">
        <v>20</v>
      </c>
      <c r="L2872" s="1" t="s">
        <v>20</v>
      </c>
      <c r="M2872" s="1" t="s">
        <v>22</v>
      </c>
      <c r="N2872" s="1" t="s">
        <v>20</v>
      </c>
    </row>
    <row r="2873" spans="1:14" x14ac:dyDescent="0.3">
      <c r="A2873" s="1" t="str">
        <f>"1_6071/2129-11/2024/Г"</f>
        <v>1_6071/2129-11/2024/Г</v>
      </c>
      <c r="B2873" s="6">
        <v>45623</v>
      </c>
      <c r="C2873" s="1" t="str">
        <f>"00038"</f>
        <v>00038</v>
      </c>
      <c r="D287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73" s="1" t="s">
        <v>20</v>
      </c>
      <c r="F287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73" s="1" t="str">
        <f t="shared" si="420"/>
        <v>Фізична особа</v>
      </c>
      <c r="H2873" s="1" t="s">
        <v>20</v>
      </c>
      <c r="I2873" s="1" t="s">
        <v>20</v>
      </c>
      <c r="J2873" s="1" t="str">
        <f>"Закрито"</f>
        <v>Закрито</v>
      </c>
      <c r="K2873" s="5">
        <v>45623</v>
      </c>
      <c r="L2873" s="1" t="s">
        <v>20</v>
      </c>
      <c r="M2873" s="1" t="s">
        <v>22</v>
      </c>
      <c r="N2873" s="5">
        <v>45623</v>
      </c>
    </row>
    <row r="2874" spans="1:14" x14ac:dyDescent="0.3">
      <c r="A2874" s="1" t="str">
        <f>"1_6072/2129-11/2024/С"</f>
        <v>1_6072/2129-11/2024/С</v>
      </c>
      <c r="B2874" s="6">
        <v>45623</v>
      </c>
      <c r="C2874" s="1" t="str">
        <f>"00038"</f>
        <v>00038</v>
      </c>
      <c r="D287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74" s="1" t="s">
        <v>20</v>
      </c>
      <c r="F287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74" s="1" t="str">
        <f t="shared" si="420"/>
        <v>Фізична особа</v>
      </c>
      <c r="H2874" s="1" t="s">
        <v>20</v>
      </c>
      <c r="I2874" s="1" t="s">
        <v>20</v>
      </c>
      <c r="J2874" s="1" t="str">
        <f>"Закрито"</f>
        <v>Закрито</v>
      </c>
      <c r="K2874" s="5">
        <v>45623</v>
      </c>
      <c r="L2874" s="1" t="s">
        <v>20</v>
      </c>
      <c r="M2874" s="1" t="s">
        <v>22</v>
      </c>
      <c r="N2874" s="5">
        <v>45623</v>
      </c>
    </row>
    <row r="2875" spans="1:14" x14ac:dyDescent="0.3">
      <c r="A2875" s="1" t="str">
        <f>"1_6073/2129-11/2024/Г"</f>
        <v>1_6073/2129-11/2024/Г</v>
      </c>
      <c r="B2875" s="6">
        <v>45623</v>
      </c>
      <c r="C2875" s="1" t="str">
        <f>"00038"</f>
        <v>00038</v>
      </c>
      <c r="D287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75" s="1" t="s">
        <v>20</v>
      </c>
      <c r="F28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75" s="1" t="str">
        <f t="shared" si="420"/>
        <v>Фізична особа</v>
      </c>
      <c r="H2875" s="1" t="s">
        <v>20</v>
      </c>
      <c r="I2875" s="1" t="s">
        <v>20</v>
      </c>
      <c r="J2875" s="1" t="str">
        <f>"Закрито"</f>
        <v>Закрито</v>
      </c>
      <c r="K2875" s="5">
        <v>45623</v>
      </c>
      <c r="L2875" s="1" t="s">
        <v>20</v>
      </c>
      <c r="M2875" s="1" t="s">
        <v>22</v>
      </c>
      <c r="N2875" s="5">
        <v>45623</v>
      </c>
    </row>
    <row r="2876" spans="1:14" x14ac:dyDescent="0.3">
      <c r="A2876" s="1" t="str">
        <f>"1_6074/2129-11/2024/Г"</f>
        <v>1_6074/2129-11/2024/Г</v>
      </c>
      <c r="B2876" s="6">
        <v>45623</v>
      </c>
      <c r="C2876" s="1" t="str">
        <f>"00038"</f>
        <v>00038</v>
      </c>
      <c r="D287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76" s="1" t="s">
        <v>20</v>
      </c>
      <c r="F287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76" s="1" t="str">
        <f t="shared" si="420"/>
        <v>Фізична особа</v>
      </c>
      <c r="H2876" s="1" t="s">
        <v>20</v>
      </c>
      <c r="I2876" s="1" t="s">
        <v>20</v>
      </c>
      <c r="J2876" s="1" t="str">
        <f>"Закрито"</f>
        <v>Закрито</v>
      </c>
      <c r="K2876" s="5">
        <v>45623</v>
      </c>
      <c r="L2876" s="1" t="s">
        <v>20</v>
      </c>
      <c r="M2876" s="1" t="s">
        <v>22</v>
      </c>
      <c r="N2876" s="5">
        <v>45623</v>
      </c>
    </row>
    <row r="2877" spans="1:14" x14ac:dyDescent="0.3">
      <c r="A2877" s="1" t="str">
        <f>"1_6075/2129-11/2024/Г"</f>
        <v>1_6075/2129-11/2024/Г</v>
      </c>
      <c r="B2877" s="6">
        <v>45623</v>
      </c>
      <c r="C2877" s="1" t="str">
        <f>"00038"</f>
        <v>00038</v>
      </c>
      <c r="D287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77" s="1" t="s">
        <v>20</v>
      </c>
      <c r="F287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77" s="1" t="str">
        <f t="shared" si="420"/>
        <v>Фізична особа</v>
      </c>
      <c r="H2877" s="1" t="s">
        <v>20</v>
      </c>
      <c r="I2877" s="1" t="s">
        <v>20</v>
      </c>
      <c r="J2877" s="1" t="str">
        <f>"Закрито"</f>
        <v>Закрито</v>
      </c>
      <c r="K2877" s="5">
        <v>45623</v>
      </c>
      <c r="L2877" s="1" t="s">
        <v>20</v>
      </c>
      <c r="M2877" s="1" t="s">
        <v>22</v>
      </c>
      <c r="N2877" s="5">
        <v>45623</v>
      </c>
    </row>
    <row r="2878" spans="1:14" x14ac:dyDescent="0.3">
      <c r="A2878" s="1" t="str">
        <f>"9_1726/04054323-11/2024/М"</f>
        <v>9_1726/04054323-11/2024/М</v>
      </c>
      <c r="B2878" s="6">
        <v>45623</v>
      </c>
      <c r="C2878" s="1" t="str">
        <f>"01"</f>
        <v>01</v>
      </c>
      <c r="D2878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2878" s="1" t="str">
        <f>"04054323"</f>
        <v>04054323</v>
      </c>
      <c r="F2878" s="1" t="str">
        <f>"Рогатинська міська рада"</f>
        <v>Рогатинська міська рада</v>
      </c>
      <c r="G2878" s="1" t="str">
        <f t="shared" si="420"/>
        <v>Фізична особа</v>
      </c>
      <c r="H2878" s="1" t="s">
        <v>20</v>
      </c>
      <c r="I2878" s="1" t="s">
        <v>20</v>
      </c>
      <c r="J2878" s="1" t="str">
        <f>"На обробці в СНАП"</f>
        <v>На обробці в СНАП</v>
      </c>
      <c r="K2878" s="1" t="s">
        <v>20</v>
      </c>
      <c r="L2878" s="1" t="s">
        <v>20</v>
      </c>
      <c r="M2878" s="1" t="s">
        <v>22</v>
      </c>
      <c r="N2878" s="1" t="s">
        <v>20</v>
      </c>
    </row>
    <row r="2879" spans="1:14" x14ac:dyDescent="0.3">
      <c r="A2879" s="1" t="str">
        <f>"3_1438/4-11/2024/Т"</f>
        <v>3_1438/4-11/2024/Т</v>
      </c>
      <c r="B2879" s="6">
        <v>45623</v>
      </c>
      <c r="C2879" s="1" t="str">
        <f>"00060"</f>
        <v>00060</v>
      </c>
      <c r="D2879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879" s="1" t="s">
        <v>20</v>
      </c>
      <c r="F2879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879" s="1" t="str">
        <f t="shared" si="420"/>
        <v>Фізична особа</v>
      </c>
      <c r="H2879" s="1" t="s">
        <v>20</v>
      </c>
      <c r="I2879" s="1" t="s">
        <v>20</v>
      </c>
      <c r="J2879" s="1" t="str">
        <f>"Закрито"</f>
        <v>Закрито</v>
      </c>
      <c r="K2879" s="5">
        <v>45623</v>
      </c>
      <c r="L2879" s="1" t="str">
        <f>"151.4"</f>
        <v>151.4</v>
      </c>
      <c r="M2879" s="1" t="s">
        <v>22</v>
      </c>
      <c r="N2879" s="5">
        <v>45623</v>
      </c>
    </row>
    <row r="2880" spans="1:14" x14ac:dyDescent="0.3">
      <c r="A2880" s="1" t="str">
        <f>"3_1439/4-11/2024/Т"</f>
        <v>3_1439/4-11/2024/Т</v>
      </c>
      <c r="B2880" s="6">
        <v>45623</v>
      </c>
      <c r="C2880" s="1" t="str">
        <f>"00060"</f>
        <v>00060</v>
      </c>
      <c r="D2880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880" s="1" t="s">
        <v>20</v>
      </c>
      <c r="F2880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880" s="1" t="str">
        <f t="shared" si="420"/>
        <v>Фізична особа</v>
      </c>
      <c r="H2880" s="1" t="s">
        <v>20</v>
      </c>
      <c r="I2880" s="1" t="s">
        <v>20</v>
      </c>
      <c r="J2880" s="1" t="str">
        <f>"Закрито"</f>
        <v>Закрито</v>
      </c>
      <c r="K2880" s="5">
        <v>45623</v>
      </c>
      <c r="L2880" s="1" t="str">
        <f>"151.4"</f>
        <v>151.4</v>
      </c>
      <c r="M2880" s="1" t="s">
        <v>22</v>
      </c>
      <c r="N2880" s="5">
        <v>45623</v>
      </c>
    </row>
    <row r="2881" spans="1:14" x14ac:dyDescent="0.3">
      <c r="A2881" s="1" t="str">
        <f>"9_1727/04054323-11/2024/М"</f>
        <v>9_1727/04054323-11/2024/М</v>
      </c>
      <c r="B2881" s="6">
        <v>45623</v>
      </c>
      <c r="C2881" s="1" t="str">
        <f>"01-1"</f>
        <v>01-1</v>
      </c>
      <c r="D2881" s="2" t="s">
        <v>0</v>
      </c>
      <c r="E2881" s="1" t="str">
        <f>"04054323"</f>
        <v>04054323</v>
      </c>
      <c r="F2881" s="1" t="str">
        <f>"Рогатинська міська рада"</f>
        <v>Рогатинська міська рада</v>
      </c>
      <c r="G2881" s="1" t="s">
        <v>21</v>
      </c>
      <c r="H2881" s="1" t="s">
        <v>20</v>
      </c>
      <c r="I2881" s="1" t="s">
        <v>20</v>
      </c>
      <c r="J2881" s="1" t="str">
        <f>"На обробці в СНАП"</f>
        <v>На обробці в СНАП</v>
      </c>
      <c r="K2881" s="1" t="s">
        <v>20</v>
      </c>
      <c r="L2881" s="1" t="s">
        <v>20</v>
      </c>
      <c r="M2881" s="1" t="s">
        <v>22</v>
      </c>
      <c r="N2881" s="1" t="s">
        <v>20</v>
      </c>
    </row>
    <row r="2882" spans="1:14" x14ac:dyDescent="0.3">
      <c r="A2882" s="1" t="str">
        <f>"3_1440/4-11/2024/Т"</f>
        <v>3_1440/4-11/2024/Т</v>
      </c>
      <c r="B2882" s="6">
        <v>45623</v>
      </c>
      <c r="C2882" s="1" t="str">
        <f>"00060"</f>
        <v>00060</v>
      </c>
      <c r="D2882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882" s="1" t="s">
        <v>20</v>
      </c>
      <c r="F2882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882" s="1" t="str">
        <f>"Фізична особа"</f>
        <v>Фізична особа</v>
      </c>
      <c r="H2882" s="1" t="s">
        <v>20</v>
      </c>
      <c r="I2882" s="1" t="s">
        <v>20</v>
      </c>
      <c r="J2882" s="1" t="str">
        <f>"Закрито"</f>
        <v>Закрито</v>
      </c>
      <c r="K2882" s="5">
        <v>45623</v>
      </c>
      <c r="L2882" s="1" t="str">
        <f>"151.4"</f>
        <v>151.4</v>
      </c>
      <c r="M2882" s="1" t="s">
        <v>22</v>
      </c>
      <c r="N2882" s="5">
        <v>45623</v>
      </c>
    </row>
    <row r="2883" spans="1:14" x14ac:dyDescent="0.3">
      <c r="A2883" s="1" t="str">
        <f>"9_1728/04054323-11/2024/М"</f>
        <v>9_1728/04054323-11/2024/М</v>
      </c>
      <c r="B2883" s="6">
        <v>45623</v>
      </c>
      <c r="C2883" s="1" t="str">
        <f>"01"</f>
        <v>01</v>
      </c>
      <c r="D2883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2883" s="1" t="str">
        <f>"04054323"</f>
        <v>04054323</v>
      </c>
      <c r="F2883" s="1" t="str">
        <f>"Рогатинська міська рада"</f>
        <v>Рогатинська міська рада</v>
      </c>
      <c r="G2883" s="1" t="str">
        <f>"Фізична особа"</f>
        <v>Фізична особа</v>
      </c>
      <c r="H2883" s="1" t="s">
        <v>20</v>
      </c>
      <c r="I2883" s="1" t="s">
        <v>20</v>
      </c>
      <c r="J2883" s="1" t="str">
        <f>"На обробці в СНАП"</f>
        <v>На обробці в СНАП</v>
      </c>
      <c r="K2883" s="1" t="s">
        <v>20</v>
      </c>
      <c r="L2883" s="1" t="s">
        <v>20</v>
      </c>
      <c r="M2883" s="1" t="s">
        <v>22</v>
      </c>
      <c r="N2883" s="1" t="s">
        <v>20</v>
      </c>
    </row>
    <row r="2884" spans="1:14" x14ac:dyDescent="0.3">
      <c r="A2884" s="1" t="str">
        <f>"3_1441/4-11/2024/М"</f>
        <v>3_1441/4-11/2024/М</v>
      </c>
      <c r="B2884" s="6">
        <v>45623</v>
      </c>
      <c r="C2884" s="1" t="str">
        <f>"00060"</f>
        <v>00060</v>
      </c>
      <c r="D2884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884" s="1" t="s">
        <v>20</v>
      </c>
      <c r="F2884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884" s="1" t="str">
        <f>"Фізична особа"</f>
        <v>Фізична особа</v>
      </c>
      <c r="H2884" s="1" t="s">
        <v>20</v>
      </c>
      <c r="I2884" s="1" t="s">
        <v>20</v>
      </c>
      <c r="J2884" s="1" t="str">
        <f>"Результат підготовлено СНАП"</f>
        <v>Результат підготовлено СНАП</v>
      </c>
      <c r="K2884" s="5">
        <v>45632</v>
      </c>
      <c r="L2884" s="1" t="str">
        <f>"151.4"</f>
        <v>151.4</v>
      </c>
      <c r="M2884" s="1" t="s">
        <v>22</v>
      </c>
      <c r="N2884" s="1" t="s">
        <v>20</v>
      </c>
    </row>
    <row r="2885" spans="1:14" x14ac:dyDescent="0.3">
      <c r="A2885" s="1" t="str">
        <f>"3_1442/4-11/2024/М"</f>
        <v>3_1442/4-11/2024/М</v>
      </c>
      <c r="B2885" s="6">
        <v>45623</v>
      </c>
      <c r="C2885" s="1" t="str">
        <f>"00060"</f>
        <v>00060</v>
      </c>
      <c r="D2885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885" s="1" t="s">
        <v>20</v>
      </c>
      <c r="F2885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885" s="1" t="str">
        <f>"Фізична особа"</f>
        <v>Фізична особа</v>
      </c>
      <c r="H2885" s="1" t="s">
        <v>20</v>
      </c>
      <c r="I2885" s="1" t="s">
        <v>20</v>
      </c>
      <c r="J2885" s="1" t="str">
        <f>"Результат підготовлено СНАП"</f>
        <v>Результат підготовлено СНАП</v>
      </c>
      <c r="K2885" s="5">
        <v>45632</v>
      </c>
      <c r="L2885" s="1" t="str">
        <f>"151.4"</f>
        <v>151.4</v>
      </c>
      <c r="M2885" s="1" t="s">
        <v>22</v>
      </c>
      <c r="N2885" s="1" t="s">
        <v>20</v>
      </c>
    </row>
    <row r="2886" spans="1:14" x14ac:dyDescent="0.3">
      <c r="A2886" s="1" t="str">
        <f>"9_1729/04054323-11/2024/О"</f>
        <v>9_1729/04054323-11/2024/О</v>
      </c>
      <c r="B2886" s="6">
        <v>45623</v>
      </c>
      <c r="C2886" s="1" t="str">
        <f>"00244"</f>
        <v>00244</v>
      </c>
      <c r="D2886" s="2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2886" s="1" t="str">
        <f>"04054323"</f>
        <v>04054323</v>
      </c>
      <c r="F2886" s="1" t="str">
        <f>"Рогатинська міська рада"</f>
        <v>Рогатинська міська рада</v>
      </c>
      <c r="G2886" s="1" t="str">
        <f>"Фізична особа"</f>
        <v>Фізична особа</v>
      </c>
      <c r="H2886" s="1" t="s">
        <v>20</v>
      </c>
      <c r="I2886" s="1" t="s">
        <v>20</v>
      </c>
      <c r="J2886" s="1" t="str">
        <f>"Закрито"</f>
        <v>Закрито</v>
      </c>
      <c r="K2886" s="5">
        <v>45631</v>
      </c>
      <c r="L2886" s="1" t="s">
        <v>20</v>
      </c>
      <c r="M2886" s="1" t="s">
        <v>22</v>
      </c>
      <c r="N2886" s="5">
        <v>45630</v>
      </c>
    </row>
    <row r="2887" spans="1:14" x14ac:dyDescent="0.3">
      <c r="A2887" s="1" t="str">
        <f>"9_1730/04054323-11/2024/Ф"</f>
        <v>9_1730/04054323-11/2024/Ф</v>
      </c>
      <c r="B2887" s="6">
        <v>45623</v>
      </c>
      <c r="C2887" s="1" t="str">
        <f>"011"</f>
        <v>011</v>
      </c>
      <c r="D2887" s="2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2887" s="1" t="str">
        <f>"04054323"</f>
        <v>04054323</v>
      </c>
      <c r="F2887" s="1" t="str">
        <f>"Рогатинська міська рада"</f>
        <v>Рогатинська міська рада</v>
      </c>
      <c r="G2887" s="1" t="str">
        <f>"Юридична особа"</f>
        <v>Юридична особа</v>
      </c>
      <c r="H2887" s="1" t="str">
        <f>"Фермерське господарство ""Агро Острів"""</f>
        <v>Фермерське господарство "Агро Острів"</v>
      </c>
      <c r="I2887" s="1" t="str">
        <f>"42656690"</f>
        <v>42656690</v>
      </c>
      <c r="J2887" s="1" t="str">
        <f>"На обробці в СНАП"</f>
        <v>На обробці в СНАП</v>
      </c>
      <c r="K2887" s="1" t="s">
        <v>20</v>
      </c>
      <c r="L2887" s="1" t="s">
        <v>20</v>
      </c>
      <c r="M2887" s="1" t="s">
        <v>22</v>
      </c>
      <c r="N2887" s="1" t="s">
        <v>20</v>
      </c>
    </row>
    <row r="2888" spans="1:14" x14ac:dyDescent="0.3">
      <c r="A2888" s="1" t="str">
        <f>"3_1443/4-11/2024/М"</f>
        <v>3_1443/4-11/2024/М</v>
      </c>
      <c r="B2888" s="6">
        <v>45623</v>
      </c>
      <c r="C2888" s="1" t="str">
        <f>"00060"</f>
        <v>00060</v>
      </c>
      <c r="D2888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888" s="1" t="s">
        <v>20</v>
      </c>
      <c r="F2888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888" s="1" t="str">
        <f t="shared" ref="G2888:G2893" si="421">"Фізична особа"</f>
        <v>Фізична особа</v>
      </c>
      <c r="H2888" s="1" t="s">
        <v>20</v>
      </c>
      <c r="I2888" s="1" t="s">
        <v>20</v>
      </c>
      <c r="J2888" s="1" t="str">
        <f>"Результат підготовлено СНАП"</f>
        <v>Результат підготовлено СНАП</v>
      </c>
      <c r="K2888" s="5">
        <v>45632</v>
      </c>
      <c r="L2888" s="1" t="str">
        <f>"151.4"</f>
        <v>151.4</v>
      </c>
      <c r="M2888" s="1" t="s">
        <v>22</v>
      </c>
      <c r="N2888" s="1" t="s">
        <v>20</v>
      </c>
    </row>
    <row r="2889" spans="1:14" x14ac:dyDescent="0.3">
      <c r="A2889" s="1" t="str">
        <f>"3_1444/4-11/2024/М"</f>
        <v>3_1444/4-11/2024/М</v>
      </c>
      <c r="B2889" s="6">
        <v>45623</v>
      </c>
      <c r="C2889" s="1" t="str">
        <f>"00060"</f>
        <v>00060</v>
      </c>
      <c r="D2889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889" s="1" t="s">
        <v>20</v>
      </c>
      <c r="F2889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889" s="1" t="str">
        <f t="shared" si="421"/>
        <v>Фізична особа</v>
      </c>
      <c r="H2889" s="1" t="s">
        <v>20</v>
      </c>
      <c r="I2889" s="1" t="s">
        <v>20</v>
      </c>
      <c r="J2889" s="1" t="str">
        <f>"Результат підготовлено СНАП"</f>
        <v>Результат підготовлено СНАП</v>
      </c>
      <c r="K2889" s="5">
        <v>45632</v>
      </c>
      <c r="L2889" s="1" t="str">
        <f>"151.4"</f>
        <v>151.4</v>
      </c>
      <c r="M2889" s="1" t="s">
        <v>22</v>
      </c>
      <c r="N2889" s="1" t="s">
        <v>20</v>
      </c>
    </row>
    <row r="2890" spans="1:14" x14ac:dyDescent="0.3">
      <c r="A2890" s="1" t="str">
        <f>"1_6076/2129-11/2024/Г"</f>
        <v>1_6076/2129-11/2024/Г</v>
      </c>
      <c r="B2890" s="6">
        <v>45623</v>
      </c>
      <c r="C2890" s="1" t="str">
        <f>"00038"</f>
        <v>00038</v>
      </c>
      <c r="D289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90" s="1" t="s">
        <v>20</v>
      </c>
      <c r="F289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90" s="1" t="str">
        <f t="shared" si="421"/>
        <v>Фізична особа</v>
      </c>
      <c r="H2890" s="1" t="s">
        <v>20</v>
      </c>
      <c r="I2890" s="1" t="s">
        <v>20</v>
      </c>
      <c r="J2890" s="1" t="str">
        <f t="shared" ref="J2890:J2896" si="422">"Закрито"</f>
        <v>Закрито</v>
      </c>
      <c r="K2890" s="5">
        <v>45623</v>
      </c>
      <c r="L2890" s="1" t="s">
        <v>20</v>
      </c>
      <c r="M2890" s="1" t="s">
        <v>22</v>
      </c>
      <c r="N2890" s="5">
        <v>45623</v>
      </c>
    </row>
    <row r="2891" spans="1:14" x14ac:dyDescent="0.3">
      <c r="A2891" s="1" t="str">
        <f>"1_6077/2129-11/2024/К"</f>
        <v>1_6077/2129-11/2024/К</v>
      </c>
      <c r="B2891" s="6">
        <v>45623</v>
      </c>
      <c r="C2891" s="1" t="str">
        <f>"00038"</f>
        <v>00038</v>
      </c>
      <c r="D289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91" s="1" t="s">
        <v>20</v>
      </c>
      <c r="F289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91" s="1" t="str">
        <f t="shared" si="421"/>
        <v>Фізична особа</v>
      </c>
      <c r="H2891" s="1" t="s">
        <v>20</v>
      </c>
      <c r="I2891" s="1" t="s">
        <v>20</v>
      </c>
      <c r="J2891" s="1" t="str">
        <f t="shared" si="422"/>
        <v>Закрито</v>
      </c>
      <c r="K2891" s="5">
        <v>45623</v>
      </c>
      <c r="L2891" s="1" t="s">
        <v>20</v>
      </c>
      <c r="M2891" s="1" t="s">
        <v>22</v>
      </c>
      <c r="N2891" s="5">
        <v>45623</v>
      </c>
    </row>
    <row r="2892" spans="1:14" x14ac:dyDescent="0.3">
      <c r="A2892" s="1" t="str">
        <f>"4_1311/03193413-11/2024/В"</f>
        <v>4_1311/03193413-11/2024/В</v>
      </c>
      <c r="B2892" s="6">
        <v>45623</v>
      </c>
      <c r="C2892" s="1" t="str">
        <f>"00155"</f>
        <v>00155</v>
      </c>
      <c r="D2892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92" s="1" t="str">
        <f>"03193413"</f>
        <v>03193413</v>
      </c>
      <c r="F289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92" s="1" t="str">
        <f t="shared" si="421"/>
        <v>Фізична особа</v>
      </c>
      <c r="H2892" s="1" t="s">
        <v>20</v>
      </c>
      <c r="I2892" s="1" t="s">
        <v>20</v>
      </c>
      <c r="J2892" s="1" t="str">
        <f t="shared" si="422"/>
        <v>Закрито</v>
      </c>
      <c r="K2892" s="5">
        <v>45623</v>
      </c>
      <c r="L2892" s="1" t="s">
        <v>20</v>
      </c>
      <c r="M2892" s="1" t="s">
        <v>22</v>
      </c>
      <c r="N2892" s="5">
        <v>45623</v>
      </c>
    </row>
    <row r="2893" spans="1:14" x14ac:dyDescent="0.3">
      <c r="A2893" s="1" t="str">
        <f>"1_6078/2129-11/2024/Д"</f>
        <v>1_6078/2129-11/2024/Д</v>
      </c>
      <c r="B2893" s="6">
        <v>45623</v>
      </c>
      <c r="C2893" s="1" t="str">
        <f>"00038"</f>
        <v>00038</v>
      </c>
      <c r="D289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893" s="1" t="s">
        <v>20</v>
      </c>
      <c r="F289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93" s="1" t="str">
        <f t="shared" si="421"/>
        <v>Фізична особа</v>
      </c>
      <c r="H2893" s="1" t="s">
        <v>20</v>
      </c>
      <c r="I2893" s="1" t="s">
        <v>20</v>
      </c>
      <c r="J2893" s="1" t="str">
        <f t="shared" si="422"/>
        <v>Закрито</v>
      </c>
      <c r="K2893" s="5">
        <v>45623</v>
      </c>
      <c r="L2893" s="1" t="s">
        <v>20</v>
      </c>
      <c r="M2893" s="1" t="s">
        <v>22</v>
      </c>
      <c r="N2893" s="5">
        <v>45623</v>
      </c>
    </row>
    <row r="2894" spans="1:14" x14ac:dyDescent="0.3">
      <c r="A2894" s="1" t="str">
        <f>"2_2145/2129-11/2024/Р"</f>
        <v>2_2145/2129-11/2024/Р</v>
      </c>
      <c r="B2894" s="6">
        <v>45623</v>
      </c>
      <c r="C2894" s="1" t="str">
        <f>"00041"</f>
        <v>00041</v>
      </c>
      <c r="D289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94" s="1" t="s">
        <v>20</v>
      </c>
      <c r="F28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94" s="1" t="str">
        <f>"Юридична особа"</f>
        <v>Юридична особа</v>
      </c>
      <c r="H2894" s="1" t="str">
        <f>"РОГАТИНСЬКА МІСЬКА РАДА"</f>
        <v>РОГАТИНСЬКА МІСЬКА РАДА</v>
      </c>
      <c r="I2894" s="1" t="str">
        <f>"04054323"</f>
        <v>04054323</v>
      </c>
      <c r="J2894" s="1" t="str">
        <f t="shared" si="422"/>
        <v>Закрито</v>
      </c>
      <c r="K2894" s="5">
        <v>45624</v>
      </c>
      <c r="L2894" s="1" t="s">
        <v>20</v>
      </c>
      <c r="M2894" s="1" t="s">
        <v>22</v>
      </c>
      <c r="N2894" s="5">
        <v>45624</v>
      </c>
    </row>
    <row r="2895" spans="1:14" x14ac:dyDescent="0.3">
      <c r="A2895" s="1" t="str">
        <f>"4_1312/03193413-11/2024/Т"</f>
        <v>4_1312/03193413-11/2024/Т</v>
      </c>
      <c r="B2895" s="6">
        <v>45623</v>
      </c>
      <c r="C2895" s="1" t="str">
        <f>"00155"</f>
        <v>00155</v>
      </c>
      <c r="D2895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895" s="1" t="str">
        <f>"03193413"</f>
        <v>03193413</v>
      </c>
      <c r="F289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95" s="1" t="str">
        <f>"Фізична особа"</f>
        <v>Фізична особа</v>
      </c>
      <c r="H2895" s="1" t="s">
        <v>20</v>
      </c>
      <c r="I2895" s="1" t="s">
        <v>20</v>
      </c>
      <c r="J2895" s="1" t="str">
        <f t="shared" si="422"/>
        <v>Закрито</v>
      </c>
      <c r="K2895" s="1" t="s">
        <v>20</v>
      </c>
      <c r="L2895" s="1" t="s">
        <v>20</v>
      </c>
      <c r="M2895" s="1" t="s">
        <v>22</v>
      </c>
      <c r="N2895" s="1" t="s">
        <v>20</v>
      </c>
    </row>
    <row r="2896" spans="1:14" x14ac:dyDescent="0.3">
      <c r="A2896" s="1" t="str">
        <f>"2_2146/2129-11/2024/Р"</f>
        <v>2_2146/2129-11/2024/Р</v>
      </c>
      <c r="B2896" s="6">
        <v>45623</v>
      </c>
      <c r="C2896" s="1" t="str">
        <f>"00041"</f>
        <v>00041</v>
      </c>
      <c r="D289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896" s="1" t="s">
        <v>20</v>
      </c>
      <c r="F289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96" s="1" t="str">
        <f>"Юридична особа"</f>
        <v>Юридична особа</v>
      </c>
      <c r="H2896" s="1" t="str">
        <f>"РОГАТИНСЬКА МІСЬКА РАДА"</f>
        <v>РОГАТИНСЬКА МІСЬКА РАДА</v>
      </c>
      <c r="I2896" s="1" t="str">
        <f>"04054323"</f>
        <v>04054323</v>
      </c>
      <c r="J2896" s="1" t="str">
        <f t="shared" si="422"/>
        <v>Закрито</v>
      </c>
      <c r="K2896" s="5">
        <v>45624</v>
      </c>
      <c r="L2896" s="1" t="s">
        <v>20</v>
      </c>
      <c r="M2896" s="1" t="s">
        <v>22</v>
      </c>
      <c r="N2896" s="5">
        <v>45624</v>
      </c>
    </row>
    <row r="2897" spans="1:14" x14ac:dyDescent="0.3">
      <c r="A2897" s="1" t="str">
        <f>"9_1731/04054323-11/2024/Л"</f>
        <v>9_1731/04054323-11/2024/Л</v>
      </c>
      <c r="B2897" s="6">
        <v>45623</v>
      </c>
      <c r="C2897" s="1" t="str">
        <f>"00199"</f>
        <v>00199</v>
      </c>
      <c r="D2897" s="2" t="str">
        <f>"00199 Видача рішення про надання дозволу на розроблення проекту землеустрою щодо відведення земельної ділянки"</f>
        <v>00199 Видача рішення про надання дозволу на розроблення проекту землеустрою щодо відведення земельної ділянки</v>
      </c>
      <c r="E2897" s="1" t="str">
        <f>"04054323"</f>
        <v>04054323</v>
      </c>
      <c r="F2897" s="1" t="str">
        <f>"Рогатинська міська рада"</f>
        <v>Рогатинська міська рада</v>
      </c>
      <c r="G2897" s="1" t="str">
        <f>"Фізична особа"</f>
        <v>Фізична особа</v>
      </c>
      <c r="H2897" s="1" t="s">
        <v>20</v>
      </c>
      <c r="I2897" s="1" t="s">
        <v>20</v>
      </c>
      <c r="J2897" s="1" t="str">
        <f>"На обробці в СНАП"</f>
        <v>На обробці в СНАП</v>
      </c>
      <c r="K2897" s="1" t="s">
        <v>20</v>
      </c>
      <c r="L2897" s="1" t="s">
        <v>20</v>
      </c>
      <c r="M2897" s="1" t="s">
        <v>22</v>
      </c>
      <c r="N2897" s="1" t="s">
        <v>20</v>
      </c>
    </row>
    <row r="2898" spans="1:14" x14ac:dyDescent="0.3">
      <c r="A2898" s="1" t="str">
        <f>"28_671-11/2024/К"</f>
        <v>28_671-11/2024/К</v>
      </c>
      <c r="B2898" s="6">
        <v>45623</v>
      </c>
      <c r="C2898" s="1" t="str">
        <f>"00241"</f>
        <v>00241</v>
      </c>
      <c r="D2898" s="2" t="str">
        <f>"Надання статусу особи з інвалідністю внаслідок війни"</f>
        <v>Надання статусу особи з інвалідністю внаслідок війни</v>
      </c>
      <c r="E2898" s="1" t="str">
        <f>"03193413"</f>
        <v>03193413</v>
      </c>
      <c r="F289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898" s="1" t="str">
        <f>"Фізична особа"</f>
        <v>Фізична особа</v>
      </c>
      <c r="H2898" s="1" t="s">
        <v>20</v>
      </c>
      <c r="I2898" s="1" t="s">
        <v>20</v>
      </c>
      <c r="J2898" s="1" t="str">
        <f t="shared" ref="J2898:J2911" si="423">"Закрито"</f>
        <v>Закрито</v>
      </c>
      <c r="K2898" s="5">
        <v>45623</v>
      </c>
      <c r="L2898" s="1" t="s">
        <v>20</v>
      </c>
      <c r="M2898" s="1" t="s">
        <v>22</v>
      </c>
      <c r="N2898" s="5">
        <v>45623</v>
      </c>
    </row>
    <row r="2899" spans="1:14" x14ac:dyDescent="0.3">
      <c r="A2899" s="1" t="str">
        <f>"5_517/2129-11/2024/Ф"</f>
        <v>5_517/2129-11/2024/Ф</v>
      </c>
      <c r="B2899" s="6">
        <v>45623</v>
      </c>
      <c r="C2899" s="1" t="str">
        <f>"00234"</f>
        <v>00234</v>
      </c>
      <c r="D2899" s="2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2899" s="1" t="s">
        <v>20</v>
      </c>
      <c r="F289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899" s="1" t="str">
        <f>"Фізична особа - підприємець"</f>
        <v>Фізична особа - підприємець</v>
      </c>
      <c r="H2899" s="1" t="str">
        <f>"ФОП ГОРІНЬ ЮРІЙ ВАСИЛЬОВИЧ"</f>
        <v>ФОП ГОРІНЬ ЮРІЙ ВАСИЛЬОВИЧ</v>
      </c>
      <c r="I2899" s="1" t="s">
        <v>20</v>
      </c>
      <c r="J2899" s="1" t="str">
        <f t="shared" si="423"/>
        <v>Закрито</v>
      </c>
      <c r="K2899" s="5">
        <v>45623</v>
      </c>
      <c r="L2899" s="1" t="str">
        <f>"150.0"</f>
        <v>150.0</v>
      </c>
      <c r="M2899" s="1" t="s">
        <v>22</v>
      </c>
      <c r="N2899" s="5">
        <v>45623</v>
      </c>
    </row>
    <row r="2900" spans="1:14" x14ac:dyDescent="0.3">
      <c r="A2900" s="1" t="str">
        <f>"5_518/2129-11/2024/Т"</f>
        <v>5_518/2129-11/2024/Т</v>
      </c>
      <c r="B2900" s="6">
        <v>45623</v>
      </c>
      <c r="C2900" s="1" t="str">
        <f>"00054"</f>
        <v>00054</v>
      </c>
      <c r="D2900" s="2" t="s">
        <v>2</v>
      </c>
      <c r="E2900" s="1" t="s">
        <v>20</v>
      </c>
      <c r="F290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00" s="1" t="str">
        <f>"Юридична особа"</f>
        <v>Юридична особа</v>
      </c>
      <c r="H2900" s="1" t="str">
        <f>"ТОВАРИСТВО З ОБМЕЖЕНОЮ ВІДПОВІДАЛЬНІСТЮ , АГРОФІРМА ""КЛІЩІВНЯНКА"""</f>
        <v>ТОВАРИСТВО З ОБМЕЖЕНОЮ ВІДПОВІДАЛЬНІСТЮ , АГРОФІРМА "КЛІЩІВНЯНКА"</v>
      </c>
      <c r="I2900" s="1" t="str">
        <f>"38713532"</f>
        <v>38713532</v>
      </c>
      <c r="J2900" s="1" t="str">
        <f t="shared" si="423"/>
        <v>Закрито</v>
      </c>
      <c r="K2900" s="1" t="s">
        <v>20</v>
      </c>
      <c r="L2900" s="1" t="s">
        <v>20</v>
      </c>
      <c r="M2900" s="1" t="s">
        <v>22</v>
      </c>
      <c r="N2900" s="1" t="s">
        <v>20</v>
      </c>
    </row>
    <row r="2901" spans="1:14" x14ac:dyDescent="0.3">
      <c r="A2901" s="1" t="str">
        <f>"2_2147/2129-11/2024/М"</f>
        <v>2_2147/2129-11/2024/М</v>
      </c>
      <c r="B2901" s="6">
        <v>45623</v>
      </c>
      <c r="C2901" s="1" t="str">
        <f>"00041"</f>
        <v>00041</v>
      </c>
      <c r="D290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901" s="1" t="s">
        <v>20</v>
      </c>
      <c r="F290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01" s="1" t="str">
        <f t="shared" ref="G2901:G2930" si="424">"Фізична особа"</f>
        <v>Фізична особа</v>
      </c>
      <c r="H2901" s="1" t="s">
        <v>20</v>
      </c>
      <c r="I2901" s="1" t="s">
        <v>20</v>
      </c>
      <c r="J2901" s="1" t="str">
        <f t="shared" si="423"/>
        <v>Закрито</v>
      </c>
      <c r="K2901" s="5">
        <v>45624</v>
      </c>
      <c r="L2901" s="1" t="s">
        <v>20</v>
      </c>
      <c r="M2901" s="1" t="s">
        <v>22</v>
      </c>
      <c r="N2901" s="5">
        <v>45624</v>
      </c>
    </row>
    <row r="2902" spans="1:14" x14ac:dyDescent="0.3">
      <c r="A2902" s="1" t="str">
        <f>"2_2148/2129-11/2024/Д"</f>
        <v>2_2148/2129-11/2024/Д</v>
      </c>
      <c r="B2902" s="6">
        <v>45623</v>
      </c>
      <c r="C2902" s="1" t="str">
        <f>"00041"</f>
        <v>00041</v>
      </c>
      <c r="D2902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902" s="1" t="s">
        <v>20</v>
      </c>
      <c r="F290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02" s="1" t="str">
        <f t="shared" si="424"/>
        <v>Фізична особа</v>
      </c>
      <c r="H2902" s="1" t="s">
        <v>20</v>
      </c>
      <c r="I2902" s="1" t="s">
        <v>20</v>
      </c>
      <c r="J2902" s="1" t="str">
        <f t="shared" si="423"/>
        <v>Закрито</v>
      </c>
      <c r="K2902" s="5">
        <v>45624</v>
      </c>
      <c r="L2902" s="1" t="s">
        <v>20</v>
      </c>
      <c r="M2902" s="1" t="s">
        <v>22</v>
      </c>
      <c r="N2902" s="5">
        <v>45624</v>
      </c>
    </row>
    <row r="2903" spans="1:14" x14ac:dyDescent="0.3">
      <c r="A2903" s="1" t="str">
        <f>"9_1732/04054323-11/2024/К"</f>
        <v>9_1732/04054323-11/2024/К</v>
      </c>
      <c r="B2903" s="6">
        <v>45623</v>
      </c>
      <c r="C2903" s="1" t="str">
        <f>"00199"</f>
        <v>00199</v>
      </c>
      <c r="D2903" s="2" t="str">
        <f>"00199 Видача рішення про надання дозволу на розроблення проекту землеустрою щодо відведення земельної ділянки"</f>
        <v>00199 Видача рішення про надання дозволу на розроблення проекту землеустрою щодо відведення земельної ділянки</v>
      </c>
      <c r="E2903" s="1" t="str">
        <f>"04054323"</f>
        <v>04054323</v>
      </c>
      <c r="F2903" s="1" t="str">
        <f>"Рогатинська міська рада"</f>
        <v>Рогатинська міська рада</v>
      </c>
      <c r="G2903" s="1" t="str">
        <f t="shared" si="424"/>
        <v>Фізична особа</v>
      </c>
      <c r="H2903" s="1" t="s">
        <v>20</v>
      </c>
      <c r="I2903" s="1" t="s">
        <v>20</v>
      </c>
      <c r="J2903" s="1" t="str">
        <f t="shared" si="423"/>
        <v>Закрито</v>
      </c>
      <c r="K2903" s="5">
        <v>45636</v>
      </c>
      <c r="L2903" s="1" t="s">
        <v>20</v>
      </c>
      <c r="M2903" s="1" t="s">
        <v>22</v>
      </c>
      <c r="N2903" s="5">
        <v>45636</v>
      </c>
    </row>
    <row r="2904" spans="1:14" x14ac:dyDescent="0.3">
      <c r="A2904" s="1" t="str">
        <f>"2_2149/2129-11/2024/П"</f>
        <v>2_2149/2129-11/2024/П</v>
      </c>
      <c r="B2904" s="6">
        <v>45623</v>
      </c>
      <c r="C2904" s="1" t="str">
        <f>"00041"</f>
        <v>00041</v>
      </c>
      <c r="D2904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904" s="1" t="s">
        <v>20</v>
      </c>
      <c r="F2904" s="1" t="str">
        <f t="shared" ref="F2904:F2910" si="425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04" s="1" t="str">
        <f t="shared" si="424"/>
        <v>Фізична особа</v>
      </c>
      <c r="H2904" s="1" t="s">
        <v>20</v>
      </c>
      <c r="I2904" s="1" t="s">
        <v>20</v>
      </c>
      <c r="J2904" s="1" t="str">
        <f t="shared" si="423"/>
        <v>Закрито</v>
      </c>
      <c r="K2904" s="5">
        <v>45624</v>
      </c>
      <c r="L2904" s="1" t="s">
        <v>20</v>
      </c>
      <c r="M2904" s="1" t="s">
        <v>22</v>
      </c>
      <c r="N2904" s="5">
        <v>45624</v>
      </c>
    </row>
    <row r="2905" spans="1:14" x14ac:dyDescent="0.3">
      <c r="A2905" s="1" t="str">
        <f>"2_2150/2129-11/2024/І"</f>
        <v>2_2150/2129-11/2024/І</v>
      </c>
      <c r="B2905" s="6">
        <v>45623</v>
      </c>
      <c r="C2905" s="1" t="str">
        <f>"00041"</f>
        <v>00041</v>
      </c>
      <c r="D2905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905" s="1" t="s">
        <v>20</v>
      </c>
      <c r="F2905" s="1" t="str">
        <f t="shared" si="425"/>
        <v>Центр надання адміністративних послуг Рогатинської міської ради</v>
      </c>
      <c r="G2905" s="1" t="str">
        <f t="shared" si="424"/>
        <v>Фізична особа</v>
      </c>
      <c r="H2905" s="1" t="s">
        <v>20</v>
      </c>
      <c r="I2905" s="1" t="s">
        <v>20</v>
      </c>
      <c r="J2905" s="1" t="str">
        <f t="shared" si="423"/>
        <v>Закрито</v>
      </c>
      <c r="K2905" s="5">
        <v>45624</v>
      </c>
      <c r="L2905" s="1" t="s">
        <v>20</v>
      </c>
      <c r="M2905" s="1" t="s">
        <v>22</v>
      </c>
      <c r="N2905" s="5">
        <v>45624</v>
      </c>
    </row>
    <row r="2906" spans="1:14" x14ac:dyDescent="0.3">
      <c r="A2906" s="1" t="str">
        <f>"2_2151/2129-11/2024/І"</f>
        <v>2_2151/2129-11/2024/І</v>
      </c>
      <c r="B2906" s="6">
        <v>45623</v>
      </c>
      <c r="C2906" s="1" t="str">
        <f>"00041"</f>
        <v>00041</v>
      </c>
      <c r="D2906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906" s="1" t="s">
        <v>20</v>
      </c>
      <c r="F2906" s="1" t="str">
        <f t="shared" si="425"/>
        <v>Центр надання адміністративних послуг Рогатинської міської ради</v>
      </c>
      <c r="G2906" s="1" t="str">
        <f t="shared" si="424"/>
        <v>Фізична особа</v>
      </c>
      <c r="H2906" s="1" t="s">
        <v>20</v>
      </c>
      <c r="I2906" s="1" t="s">
        <v>20</v>
      </c>
      <c r="J2906" s="1" t="str">
        <f t="shared" si="423"/>
        <v>Закрито</v>
      </c>
      <c r="K2906" s="5">
        <v>45624</v>
      </c>
      <c r="L2906" s="1" t="s">
        <v>20</v>
      </c>
      <c r="M2906" s="1" t="s">
        <v>22</v>
      </c>
      <c r="N2906" s="5">
        <v>45624</v>
      </c>
    </row>
    <row r="2907" spans="1:14" x14ac:dyDescent="0.3">
      <c r="A2907" s="1" t="str">
        <f>"6_382-11/2024/С"</f>
        <v>6_382-11/2024/С</v>
      </c>
      <c r="B2907" s="6">
        <v>45623</v>
      </c>
      <c r="C2907" s="1" t="str">
        <f>"33"</f>
        <v>33</v>
      </c>
      <c r="D2907" s="2" t="str">
        <f>"33 Довідки різного характеру"</f>
        <v>33 Довідки різного характеру</v>
      </c>
      <c r="E2907" s="1" t="s">
        <v>20</v>
      </c>
      <c r="F2907" s="1" t="str">
        <f t="shared" si="425"/>
        <v>Центр надання адміністративних послуг Рогатинської міської ради</v>
      </c>
      <c r="G2907" s="1" t="str">
        <f t="shared" si="424"/>
        <v>Фізична особа</v>
      </c>
      <c r="H2907" s="1" t="s">
        <v>20</v>
      </c>
      <c r="I2907" s="1" t="s">
        <v>20</v>
      </c>
      <c r="J2907" s="1" t="str">
        <f t="shared" si="423"/>
        <v>Закрито</v>
      </c>
      <c r="K2907" s="5">
        <v>45623</v>
      </c>
      <c r="L2907" s="1" t="s">
        <v>20</v>
      </c>
      <c r="M2907" s="1" t="s">
        <v>22</v>
      </c>
      <c r="N2907" s="5">
        <v>45623</v>
      </c>
    </row>
    <row r="2908" spans="1:14" x14ac:dyDescent="0.3">
      <c r="A2908" s="1" t="str">
        <f>"2_2152/2129-11/2024/П"</f>
        <v>2_2152/2129-11/2024/П</v>
      </c>
      <c r="B2908" s="6">
        <v>45623</v>
      </c>
      <c r="C2908" s="1" t="str">
        <f>"00041"</f>
        <v>00041</v>
      </c>
      <c r="D290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908" s="1" t="s">
        <v>20</v>
      </c>
      <c r="F2908" s="1" t="str">
        <f t="shared" si="425"/>
        <v>Центр надання адміністративних послуг Рогатинської міської ради</v>
      </c>
      <c r="G2908" s="1" t="str">
        <f t="shared" si="424"/>
        <v>Фізична особа</v>
      </c>
      <c r="H2908" s="1" t="s">
        <v>20</v>
      </c>
      <c r="I2908" s="1" t="s">
        <v>20</v>
      </c>
      <c r="J2908" s="1" t="str">
        <f t="shared" si="423"/>
        <v>Закрито</v>
      </c>
      <c r="K2908" s="5">
        <v>45624</v>
      </c>
      <c r="L2908" s="1" t="s">
        <v>20</v>
      </c>
      <c r="M2908" s="1" t="s">
        <v>22</v>
      </c>
      <c r="N2908" s="5">
        <v>45624</v>
      </c>
    </row>
    <row r="2909" spans="1:14" x14ac:dyDescent="0.3">
      <c r="A2909" s="1" t="str">
        <f>"2_2153/2129-11/2024/З"</f>
        <v>2_2153/2129-11/2024/З</v>
      </c>
      <c r="B2909" s="6">
        <v>45623</v>
      </c>
      <c r="C2909" s="1" t="str">
        <f>"00041"</f>
        <v>00041</v>
      </c>
      <c r="D290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909" s="1" t="s">
        <v>20</v>
      </c>
      <c r="F2909" s="1" t="str">
        <f t="shared" si="425"/>
        <v>Центр надання адміністративних послуг Рогатинської міської ради</v>
      </c>
      <c r="G2909" s="1" t="str">
        <f t="shared" si="424"/>
        <v>Фізична особа</v>
      </c>
      <c r="H2909" s="1" t="s">
        <v>20</v>
      </c>
      <c r="I2909" s="1" t="s">
        <v>20</v>
      </c>
      <c r="J2909" s="1" t="str">
        <f t="shared" si="423"/>
        <v>Закрито</v>
      </c>
      <c r="K2909" s="5">
        <v>45624</v>
      </c>
      <c r="L2909" s="1" t="s">
        <v>20</v>
      </c>
      <c r="M2909" s="1" t="s">
        <v>22</v>
      </c>
      <c r="N2909" s="5">
        <v>45624</v>
      </c>
    </row>
    <row r="2910" spans="1:14" x14ac:dyDescent="0.3">
      <c r="A2910" s="1" t="str">
        <f>"2_2154/2129-11/2024/Б"</f>
        <v>2_2154/2129-11/2024/Б</v>
      </c>
      <c r="B2910" s="6">
        <v>45623</v>
      </c>
      <c r="C2910" s="1" t="str">
        <f>"00047"</f>
        <v>00047</v>
      </c>
      <c r="D2910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2910" s="1" t="s">
        <v>20</v>
      </c>
      <c r="F2910" s="1" t="str">
        <f t="shared" si="425"/>
        <v>Центр надання адміністративних послуг Рогатинської міської ради</v>
      </c>
      <c r="G2910" s="1" t="str">
        <f t="shared" si="424"/>
        <v>Фізична особа</v>
      </c>
      <c r="H2910" s="1" t="s">
        <v>20</v>
      </c>
      <c r="I2910" s="1" t="s">
        <v>20</v>
      </c>
      <c r="J2910" s="1" t="str">
        <f t="shared" si="423"/>
        <v>Закрито</v>
      </c>
      <c r="K2910" s="5">
        <v>45624</v>
      </c>
      <c r="L2910" s="1" t="s">
        <v>20</v>
      </c>
      <c r="M2910" s="1" t="s">
        <v>22</v>
      </c>
      <c r="N2910" s="5">
        <v>45624</v>
      </c>
    </row>
    <row r="2911" spans="1:14" x14ac:dyDescent="0.3">
      <c r="A2911" s="1" t="str">
        <f>"23_453-11/2024/М"</f>
        <v>23_453-11/2024/М</v>
      </c>
      <c r="B2911" s="6">
        <v>45623</v>
      </c>
      <c r="C2911" s="1" t="str">
        <f>"00155"</f>
        <v>00155</v>
      </c>
      <c r="D2911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11" s="1" t="str">
        <f>"03193413"</f>
        <v>03193413</v>
      </c>
      <c r="F291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11" s="1" t="str">
        <f t="shared" si="424"/>
        <v>Фізична особа</v>
      </c>
      <c r="H2911" s="1" t="s">
        <v>20</v>
      </c>
      <c r="I2911" s="1" t="s">
        <v>20</v>
      </c>
      <c r="J2911" s="1" t="str">
        <f t="shared" si="423"/>
        <v>Закрито</v>
      </c>
      <c r="K2911" s="5">
        <v>45633</v>
      </c>
      <c r="L2911" s="1" t="s">
        <v>20</v>
      </c>
      <c r="M2911" s="1" t="s">
        <v>22</v>
      </c>
      <c r="N2911" s="5">
        <v>45632</v>
      </c>
    </row>
    <row r="2912" spans="1:14" x14ac:dyDescent="0.3">
      <c r="A2912" s="1" t="str">
        <f>"31_510-11/2024/П"</f>
        <v>31_510-11/2024/П</v>
      </c>
      <c r="B2912" s="6">
        <v>45623</v>
      </c>
      <c r="C2912" s="1" t="str">
        <f>"01974"</f>
        <v>01974</v>
      </c>
      <c r="D2912" s="2" t="str">
        <f>"Призначення пільги на оплату житла, комунальних послуг"</f>
        <v>Призначення пільги на оплату житла, комунальних послуг</v>
      </c>
      <c r="E2912" s="1" t="str">
        <f>"03193413"</f>
        <v>03193413</v>
      </c>
      <c r="F291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12" s="1" t="str">
        <f t="shared" si="424"/>
        <v>Фізична особа</v>
      </c>
      <c r="H2912" s="1" t="s">
        <v>20</v>
      </c>
      <c r="I2912" s="1" t="s">
        <v>20</v>
      </c>
      <c r="J2912" s="1" t="str">
        <f>"На обробці в СНАП"</f>
        <v>На обробці в СНАП</v>
      </c>
      <c r="K2912" s="1" t="s">
        <v>20</v>
      </c>
      <c r="L2912" s="1" t="s">
        <v>20</v>
      </c>
      <c r="M2912" s="1" t="s">
        <v>22</v>
      </c>
      <c r="N2912" s="1" t="s">
        <v>20</v>
      </c>
    </row>
    <row r="2913" spans="1:14" x14ac:dyDescent="0.3">
      <c r="A2913" s="1" t="str">
        <f>"14_1038-11/2024/Д"</f>
        <v>14_1038-11/2024/Д</v>
      </c>
      <c r="B2913" s="6">
        <v>45623</v>
      </c>
      <c r="C2913" s="1" t="str">
        <f>"00038"</f>
        <v>00038</v>
      </c>
      <c r="D291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13" s="1" t="s">
        <v>20</v>
      </c>
      <c r="F291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13" s="1" t="str">
        <f t="shared" si="424"/>
        <v>Фізична особа</v>
      </c>
      <c r="H2913" s="1" t="s">
        <v>20</v>
      </c>
      <c r="I2913" s="1" t="s">
        <v>20</v>
      </c>
      <c r="J2913" s="1" t="str">
        <f>"Закрито"</f>
        <v>Закрито</v>
      </c>
      <c r="K2913" s="5">
        <v>45623</v>
      </c>
      <c r="L2913" s="1" t="s">
        <v>20</v>
      </c>
      <c r="M2913" s="1" t="s">
        <v>22</v>
      </c>
      <c r="N2913" s="5">
        <v>45623</v>
      </c>
    </row>
    <row r="2914" spans="1:14" x14ac:dyDescent="0.3">
      <c r="A2914" s="1" t="str">
        <f>"14_1039-11/2024/В"</f>
        <v>14_1039-11/2024/В</v>
      </c>
      <c r="B2914" s="6">
        <v>45623</v>
      </c>
      <c r="C2914" s="1" t="str">
        <f>"00038"</f>
        <v>00038</v>
      </c>
      <c r="D291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14" s="1" t="s">
        <v>20</v>
      </c>
      <c r="F291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14" s="1" t="str">
        <f t="shared" si="424"/>
        <v>Фізична особа</v>
      </c>
      <c r="H2914" s="1" t="s">
        <v>20</v>
      </c>
      <c r="I2914" s="1" t="s">
        <v>20</v>
      </c>
      <c r="J2914" s="1" t="str">
        <f>"Закрито"</f>
        <v>Закрито</v>
      </c>
      <c r="K2914" s="5">
        <v>45623</v>
      </c>
      <c r="L2914" s="1" t="s">
        <v>20</v>
      </c>
      <c r="M2914" s="1" t="s">
        <v>22</v>
      </c>
      <c r="N2914" s="5">
        <v>45623</v>
      </c>
    </row>
    <row r="2915" spans="1:14" x14ac:dyDescent="0.3">
      <c r="A2915" s="1" t="str">
        <f>"3_886-11/2024/І"</f>
        <v>3_886-11/2024/І</v>
      </c>
      <c r="B2915" s="6">
        <v>45623</v>
      </c>
      <c r="C2915" s="1" t="str">
        <f>"33"</f>
        <v>33</v>
      </c>
      <c r="D2915" s="2" t="str">
        <f>"33 Довідки різного характеру"</f>
        <v>33 Довідки різного характеру</v>
      </c>
      <c r="E2915" s="1" t="s">
        <v>20</v>
      </c>
      <c r="F291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15" s="1" t="str">
        <f t="shared" si="424"/>
        <v>Фізична особа</v>
      </c>
      <c r="H2915" s="1" t="s">
        <v>20</v>
      </c>
      <c r="I2915" s="1" t="s">
        <v>20</v>
      </c>
      <c r="J2915" s="1" t="str">
        <f>"Закрито"</f>
        <v>Закрито</v>
      </c>
      <c r="K2915" s="5">
        <v>45623</v>
      </c>
      <c r="L2915" s="1" t="s">
        <v>20</v>
      </c>
      <c r="M2915" s="1" t="s">
        <v>22</v>
      </c>
      <c r="N2915" s="5">
        <v>45623</v>
      </c>
    </row>
    <row r="2916" spans="1:14" x14ac:dyDescent="0.3">
      <c r="A2916" s="1" t="str">
        <f>"31_511-11/2024/К"</f>
        <v>31_511-11/2024/К</v>
      </c>
      <c r="B2916" s="6">
        <v>45623</v>
      </c>
      <c r="C2916" s="1" t="str">
        <f>"00155"</f>
        <v>00155</v>
      </c>
      <c r="D2916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16" s="1" t="str">
        <f>"03193413"</f>
        <v>03193413</v>
      </c>
      <c r="F291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16" s="1" t="str">
        <f t="shared" si="424"/>
        <v>Фізична особа</v>
      </c>
      <c r="H2916" s="1" t="s">
        <v>20</v>
      </c>
      <c r="I2916" s="1" t="s">
        <v>20</v>
      </c>
      <c r="J2916" s="1" t="str">
        <f>"На обробці в СНАП"</f>
        <v>На обробці в СНАП</v>
      </c>
      <c r="K2916" s="1" t="s">
        <v>20</v>
      </c>
      <c r="L2916" s="1" t="s">
        <v>20</v>
      </c>
      <c r="M2916" s="1" t="s">
        <v>22</v>
      </c>
      <c r="N2916" s="1" t="s">
        <v>20</v>
      </c>
    </row>
    <row r="2917" spans="1:14" x14ac:dyDescent="0.3">
      <c r="A2917" s="1" t="str">
        <f>"5_508-11/2024/Х"</f>
        <v>5_508-11/2024/Х</v>
      </c>
      <c r="B2917" s="6">
        <v>45623</v>
      </c>
      <c r="C2917" s="1" t="str">
        <f>"33"</f>
        <v>33</v>
      </c>
      <c r="D2917" s="2" t="str">
        <f>"33 Довідки різного характеру"</f>
        <v>33 Довідки різного характеру</v>
      </c>
      <c r="E2917" s="1" t="s">
        <v>20</v>
      </c>
      <c r="F291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17" s="1" t="str">
        <f t="shared" si="424"/>
        <v>Фізична особа</v>
      </c>
      <c r="H2917" s="1" t="s">
        <v>20</v>
      </c>
      <c r="I2917" s="1" t="s">
        <v>20</v>
      </c>
      <c r="J2917" s="1" t="str">
        <f t="shared" ref="J2917:J2932" si="426">"Закрито"</f>
        <v>Закрито</v>
      </c>
      <c r="K2917" s="5">
        <v>45623</v>
      </c>
      <c r="L2917" s="1" t="s">
        <v>20</v>
      </c>
      <c r="M2917" s="1" t="s">
        <v>22</v>
      </c>
      <c r="N2917" s="5">
        <v>45623</v>
      </c>
    </row>
    <row r="2918" spans="1:14" x14ac:dyDescent="0.3">
      <c r="A2918" s="1" t="str">
        <f>"23_454-11/2024/М"</f>
        <v>23_454-11/2024/М</v>
      </c>
      <c r="B2918" s="6">
        <v>45623</v>
      </c>
      <c r="C2918" s="1" t="str">
        <f>"00038"</f>
        <v>00038</v>
      </c>
      <c r="D291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18" s="1" t="s">
        <v>20</v>
      </c>
      <c r="F291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18" s="1" t="str">
        <f t="shared" si="424"/>
        <v>Фізична особа</v>
      </c>
      <c r="H2918" s="1" t="s">
        <v>20</v>
      </c>
      <c r="I2918" s="1" t="s">
        <v>20</v>
      </c>
      <c r="J2918" s="1" t="str">
        <f t="shared" si="426"/>
        <v>Закрито</v>
      </c>
      <c r="K2918" s="5">
        <v>45623</v>
      </c>
      <c r="L2918" s="1" t="s">
        <v>20</v>
      </c>
      <c r="M2918" s="1" t="s">
        <v>22</v>
      </c>
      <c r="N2918" s="5">
        <v>45623</v>
      </c>
    </row>
    <row r="2919" spans="1:14" x14ac:dyDescent="0.3">
      <c r="A2919" s="1" t="str">
        <f>"28_672-11/2024/К"</f>
        <v>28_672-11/2024/К</v>
      </c>
      <c r="B2919" s="6">
        <v>45623</v>
      </c>
      <c r="C2919" s="1" t="str">
        <f>"00155"</f>
        <v>00155</v>
      </c>
      <c r="D2919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19" s="1" t="str">
        <f>"03193413"</f>
        <v>03193413</v>
      </c>
      <c r="F291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19" s="1" t="str">
        <f t="shared" si="424"/>
        <v>Фізична особа</v>
      </c>
      <c r="H2919" s="1" t="s">
        <v>20</v>
      </c>
      <c r="I2919" s="1" t="s">
        <v>20</v>
      </c>
      <c r="J2919" s="1" t="str">
        <f t="shared" si="426"/>
        <v>Закрито</v>
      </c>
      <c r="K2919" s="5">
        <v>45636</v>
      </c>
      <c r="L2919" s="1" t="s">
        <v>20</v>
      </c>
      <c r="M2919" s="1" t="s">
        <v>22</v>
      </c>
      <c r="N2919" s="5">
        <v>45636</v>
      </c>
    </row>
    <row r="2920" spans="1:14" x14ac:dyDescent="0.3">
      <c r="A2920" s="1" t="str">
        <f>"31_512-11/2024/П"</f>
        <v>31_512-11/2024/П</v>
      </c>
      <c r="B2920" s="6">
        <v>45623</v>
      </c>
      <c r="C2920" s="1" t="str">
        <f>"00038"</f>
        <v>00038</v>
      </c>
      <c r="D292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20" s="1" t="s">
        <v>20</v>
      </c>
      <c r="F292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20" s="1" t="str">
        <f t="shared" si="424"/>
        <v>Фізична особа</v>
      </c>
      <c r="H2920" s="1" t="s">
        <v>20</v>
      </c>
      <c r="I2920" s="1" t="s">
        <v>20</v>
      </c>
      <c r="J2920" s="1" t="str">
        <f t="shared" si="426"/>
        <v>Закрито</v>
      </c>
      <c r="K2920" s="5">
        <v>45623</v>
      </c>
      <c r="L2920" s="1" t="s">
        <v>20</v>
      </c>
      <c r="M2920" s="1" t="s">
        <v>22</v>
      </c>
      <c r="N2920" s="5">
        <v>45623</v>
      </c>
    </row>
    <row r="2921" spans="1:14" x14ac:dyDescent="0.3">
      <c r="A2921" s="1" t="str">
        <f>"23_455-11/2024/М"</f>
        <v>23_455-11/2024/М</v>
      </c>
      <c r="B2921" s="6">
        <v>45623</v>
      </c>
      <c r="C2921" s="1" t="str">
        <f>"00064"</f>
        <v>00064</v>
      </c>
      <c r="D2921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921" s="1" t="s">
        <v>20</v>
      </c>
      <c r="F2921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921" s="1" t="str">
        <f t="shared" si="424"/>
        <v>Фізична особа</v>
      </c>
      <c r="H2921" s="1" t="s">
        <v>20</v>
      </c>
      <c r="I2921" s="1" t="s">
        <v>20</v>
      </c>
      <c r="J2921" s="1" t="str">
        <f t="shared" si="426"/>
        <v>Закрито</v>
      </c>
      <c r="K2921" s="5">
        <v>45623</v>
      </c>
      <c r="L2921" s="1" t="s">
        <v>20</v>
      </c>
      <c r="M2921" s="1" t="s">
        <v>22</v>
      </c>
      <c r="N2921" s="5">
        <v>45623</v>
      </c>
    </row>
    <row r="2922" spans="1:14" x14ac:dyDescent="0.3">
      <c r="A2922" s="1" t="str">
        <f>"31_513-11/2024/М"</f>
        <v>31_513-11/2024/М</v>
      </c>
      <c r="B2922" s="6">
        <v>45623</v>
      </c>
      <c r="C2922" s="1" t="str">
        <f>"00038"</f>
        <v>00038</v>
      </c>
      <c r="D292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22" s="1" t="s">
        <v>20</v>
      </c>
      <c r="F292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22" s="1" t="str">
        <f t="shared" si="424"/>
        <v>Фізична особа</v>
      </c>
      <c r="H2922" s="1" t="s">
        <v>20</v>
      </c>
      <c r="I2922" s="1" t="s">
        <v>20</v>
      </c>
      <c r="J2922" s="1" t="str">
        <f t="shared" si="426"/>
        <v>Закрито</v>
      </c>
      <c r="K2922" s="5">
        <v>45623</v>
      </c>
      <c r="L2922" s="1" t="s">
        <v>20</v>
      </c>
      <c r="M2922" s="1" t="s">
        <v>22</v>
      </c>
      <c r="N2922" s="5">
        <v>45623</v>
      </c>
    </row>
    <row r="2923" spans="1:14" x14ac:dyDescent="0.3">
      <c r="A2923" s="1" t="str">
        <f>"8_557-11/2024/К"</f>
        <v>8_557-11/2024/К</v>
      </c>
      <c r="B2923" s="6">
        <v>45623</v>
      </c>
      <c r="C2923" s="1" t="str">
        <f>"00143"</f>
        <v>00143</v>
      </c>
      <c r="D2923" s="2" t="str">
        <f>"Призначення державної допомоги у зв’язку з вагітністю та пологами жінкам, які не застраховані в системі загальнообов’язкового державного соціального страхування"</f>
        <v>Призначення державної допомоги у зв’язку з вагітністю та пологами жінкам, які не застраховані в системі загальнообов’язкового державного соціального страхування</v>
      </c>
      <c r="E2923" s="1" t="str">
        <f>"03193413"</f>
        <v>03193413</v>
      </c>
      <c r="F292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23" s="1" t="str">
        <f t="shared" si="424"/>
        <v>Фізична особа</v>
      </c>
      <c r="H2923" s="1" t="s">
        <v>20</v>
      </c>
      <c r="I2923" s="1" t="s">
        <v>20</v>
      </c>
      <c r="J2923" s="1" t="str">
        <f t="shared" si="426"/>
        <v>Закрито</v>
      </c>
      <c r="K2923" s="5">
        <v>45629</v>
      </c>
      <c r="L2923" s="1" t="s">
        <v>20</v>
      </c>
      <c r="M2923" s="1" t="s">
        <v>22</v>
      </c>
      <c r="N2923" s="5">
        <v>45629</v>
      </c>
    </row>
    <row r="2924" spans="1:14" x14ac:dyDescent="0.3">
      <c r="A2924" s="1" t="str">
        <f>"8_558-11/2024/Л"</f>
        <v>8_558-11/2024/Л</v>
      </c>
      <c r="B2924" s="6">
        <v>45623</v>
      </c>
      <c r="C2924" s="1" t="str">
        <f>"00155"</f>
        <v>00155</v>
      </c>
      <c r="D2924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24" s="1" t="str">
        <f>"03193413"</f>
        <v>03193413</v>
      </c>
      <c r="F292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24" s="1" t="str">
        <f t="shared" si="424"/>
        <v>Фізична особа</v>
      </c>
      <c r="H2924" s="1" t="s">
        <v>20</v>
      </c>
      <c r="I2924" s="1" t="s">
        <v>20</v>
      </c>
      <c r="J2924" s="1" t="str">
        <f t="shared" si="426"/>
        <v>Закрито</v>
      </c>
      <c r="K2924" s="5">
        <v>45629</v>
      </c>
      <c r="L2924" s="1" t="s">
        <v>20</v>
      </c>
      <c r="M2924" s="1" t="s">
        <v>22</v>
      </c>
      <c r="N2924" s="5">
        <v>45629</v>
      </c>
    </row>
    <row r="2925" spans="1:14" x14ac:dyDescent="0.3">
      <c r="A2925" s="1" t="str">
        <f>"8_559-11/2024/Ц"</f>
        <v>8_559-11/2024/Ц</v>
      </c>
      <c r="B2925" s="6">
        <v>45623</v>
      </c>
      <c r="C2925" s="1" t="str">
        <f>"00038"</f>
        <v>00038</v>
      </c>
      <c r="D292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25" s="1" t="s">
        <v>20</v>
      </c>
      <c r="F2925" s="1" t="str">
        <f t="shared" ref="F2925:F2930" si="427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25" s="1" t="str">
        <f t="shared" si="424"/>
        <v>Фізична особа</v>
      </c>
      <c r="H2925" s="1" t="s">
        <v>20</v>
      </c>
      <c r="I2925" s="1" t="s">
        <v>20</v>
      </c>
      <c r="J2925" s="1" t="str">
        <f t="shared" si="426"/>
        <v>Закрито</v>
      </c>
      <c r="K2925" s="5">
        <v>45623</v>
      </c>
      <c r="L2925" s="1" t="s">
        <v>20</v>
      </c>
      <c r="M2925" s="1" t="s">
        <v>22</v>
      </c>
      <c r="N2925" s="5">
        <v>45623</v>
      </c>
    </row>
    <row r="2926" spans="1:14" x14ac:dyDescent="0.3">
      <c r="A2926" s="1" t="str">
        <f>"1_6079/2129-11/2024/М"</f>
        <v>1_6079/2129-11/2024/М</v>
      </c>
      <c r="B2926" s="6">
        <v>45623</v>
      </c>
      <c r="C2926" s="1" t="str">
        <f>"00038"</f>
        <v>00038</v>
      </c>
      <c r="D292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26" s="1" t="s">
        <v>20</v>
      </c>
      <c r="F2926" s="1" t="str">
        <f t="shared" si="427"/>
        <v>Центр надання адміністративних послуг Рогатинської міської ради</v>
      </c>
      <c r="G2926" s="1" t="str">
        <f t="shared" si="424"/>
        <v>Фізична особа</v>
      </c>
      <c r="H2926" s="1" t="s">
        <v>20</v>
      </c>
      <c r="I2926" s="1" t="s">
        <v>20</v>
      </c>
      <c r="J2926" s="1" t="str">
        <f t="shared" si="426"/>
        <v>Закрито</v>
      </c>
      <c r="K2926" s="5">
        <v>45623</v>
      </c>
      <c r="L2926" s="1" t="s">
        <v>20</v>
      </c>
      <c r="M2926" s="1" t="s">
        <v>22</v>
      </c>
      <c r="N2926" s="5">
        <v>45623</v>
      </c>
    </row>
    <row r="2927" spans="1:14" x14ac:dyDescent="0.3">
      <c r="A2927" s="1" t="str">
        <f>"1_6080/2129-11/2024/П"</f>
        <v>1_6080/2129-11/2024/П</v>
      </c>
      <c r="B2927" s="6">
        <v>45623</v>
      </c>
      <c r="C2927" s="1" t="str">
        <f>"00038"</f>
        <v>00038</v>
      </c>
      <c r="D292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27" s="1" t="s">
        <v>20</v>
      </c>
      <c r="F2927" s="1" t="str">
        <f t="shared" si="427"/>
        <v>Центр надання адміністративних послуг Рогатинської міської ради</v>
      </c>
      <c r="G2927" s="1" t="str">
        <f t="shared" si="424"/>
        <v>Фізична особа</v>
      </c>
      <c r="H2927" s="1" t="s">
        <v>20</v>
      </c>
      <c r="I2927" s="1" t="s">
        <v>20</v>
      </c>
      <c r="J2927" s="1" t="str">
        <f t="shared" si="426"/>
        <v>Закрито</v>
      </c>
      <c r="K2927" s="5">
        <v>45623</v>
      </c>
      <c r="L2927" s="1" t="s">
        <v>20</v>
      </c>
      <c r="M2927" s="1" t="s">
        <v>22</v>
      </c>
      <c r="N2927" s="5">
        <v>45623</v>
      </c>
    </row>
    <row r="2928" spans="1:14" x14ac:dyDescent="0.3">
      <c r="A2928" s="1" t="str">
        <f>"1_6081/2129-11/2024/П"</f>
        <v>1_6081/2129-11/2024/П</v>
      </c>
      <c r="B2928" s="6">
        <v>45623</v>
      </c>
      <c r="C2928" s="1" t="str">
        <f>"00038"</f>
        <v>00038</v>
      </c>
      <c r="D292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28" s="1" t="s">
        <v>20</v>
      </c>
      <c r="F2928" s="1" t="str">
        <f t="shared" si="427"/>
        <v>Центр надання адміністративних послуг Рогатинської міської ради</v>
      </c>
      <c r="G2928" s="1" t="str">
        <f t="shared" si="424"/>
        <v>Фізична особа</v>
      </c>
      <c r="H2928" s="1" t="s">
        <v>20</v>
      </c>
      <c r="I2928" s="1" t="s">
        <v>20</v>
      </c>
      <c r="J2928" s="1" t="str">
        <f t="shared" si="426"/>
        <v>Закрито</v>
      </c>
      <c r="K2928" s="5">
        <v>45623</v>
      </c>
      <c r="L2928" s="1" t="s">
        <v>20</v>
      </c>
      <c r="M2928" s="1" t="s">
        <v>22</v>
      </c>
      <c r="N2928" s="5">
        <v>45623</v>
      </c>
    </row>
    <row r="2929" spans="1:14" x14ac:dyDescent="0.3">
      <c r="A2929" s="1" t="str">
        <f>"29_478-11/2024/С"</f>
        <v>29_478-11/2024/С</v>
      </c>
      <c r="B2929" s="6">
        <v>45623</v>
      </c>
      <c r="C2929" s="1" t="str">
        <f>"00038"</f>
        <v>00038</v>
      </c>
      <c r="D292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29" s="1" t="s">
        <v>20</v>
      </c>
      <c r="F2929" s="1" t="str">
        <f t="shared" si="427"/>
        <v>Центр надання адміністративних послуг Рогатинської міської ради</v>
      </c>
      <c r="G2929" s="1" t="str">
        <f t="shared" si="424"/>
        <v>Фізична особа</v>
      </c>
      <c r="H2929" s="1" t="s">
        <v>20</v>
      </c>
      <c r="I2929" s="1" t="s">
        <v>20</v>
      </c>
      <c r="J2929" s="1" t="str">
        <f t="shared" si="426"/>
        <v>Закрито</v>
      </c>
      <c r="K2929" s="5">
        <v>45623</v>
      </c>
      <c r="L2929" s="1" t="s">
        <v>20</v>
      </c>
      <c r="M2929" s="1" t="s">
        <v>22</v>
      </c>
      <c r="N2929" s="5">
        <v>45623</v>
      </c>
    </row>
    <row r="2930" spans="1:14" x14ac:dyDescent="0.3">
      <c r="A2930" s="1" t="str">
        <f>"29_479-11/2024/Х"</f>
        <v>29_479-11/2024/Х</v>
      </c>
      <c r="B2930" s="6">
        <v>45623</v>
      </c>
      <c r="C2930" s="1" t="str">
        <f>"33"</f>
        <v>33</v>
      </c>
      <c r="D2930" s="2" t="str">
        <f>"33 Довідки різного характеру"</f>
        <v>33 Довідки різного характеру</v>
      </c>
      <c r="E2930" s="1" t="s">
        <v>20</v>
      </c>
      <c r="F2930" s="1" t="str">
        <f t="shared" si="427"/>
        <v>Центр надання адміністративних послуг Рогатинської міської ради</v>
      </c>
      <c r="G2930" s="1" t="str">
        <f t="shared" si="424"/>
        <v>Фізична особа</v>
      </c>
      <c r="H2930" s="1" t="s">
        <v>20</v>
      </c>
      <c r="I2930" s="1" t="s">
        <v>20</v>
      </c>
      <c r="J2930" s="1" t="str">
        <f t="shared" si="426"/>
        <v>Закрито</v>
      </c>
      <c r="K2930" s="5">
        <v>45623</v>
      </c>
      <c r="L2930" s="1" t="s">
        <v>20</v>
      </c>
      <c r="M2930" s="1" t="s">
        <v>22</v>
      </c>
      <c r="N2930" s="5">
        <v>45623</v>
      </c>
    </row>
    <row r="2931" spans="1:14" x14ac:dyDescent="0.3">
      <c r="A2931" s="1" t="str">
        <f>"7_266/3-11/2024/П"</f>
        <v>7_266/3-11/2024/П</v>
      </c>
      <c r="B2931" s="6">
        <v>45623</v>
      </c>
      <c r="C2931" s="1" t="str">
        <f>"01399"</f>
        <v>01399</v>
      </c>
      <c r="D2931" s="2" t="str">
        <f>"Державна реєстрація потужностей оператора ринку"</f>
        <v>Державна реєстрація потужностей оператора ринку</v>
      </c>
      <c r="E2931" s="1" t="s">
        <v>20</v>
      </c>
      <c r="F2931" s="1" t="str">
        <f>"Рогатинський відділ Івано-Франківського районного управління Головного управління Держпродспоживслужби в Івано-Франківській області"</f>
        <v>Рогатинський відділ Івано-Франківського районного управління Головного управління Держпродспоживслужби в Івано-Франківській області</v>
      </c>
      <c r="G2931" s="1" t="str">
        <f>"Юридична особа"</f>
        <v>Юридична особа</v>
      </c>
      <c r="H2931" s="1" t="str">
        <f>"ПраТ ""Агрохолдинг Авангард"""</f>
        <v>ПраТ "Агрохолдинг Авангард"</v>
      </c>
      <c r="I2931" s="1" t="str">
        <f>"00851519"</f>
        <v>00851519</v>
      </c>
      <c r="J2931" s="1" t="str">
        <f t="shared" si="426"/>
        <v>Закрито</v>
      </c>
      <c r="K2931" s="5">
        <v>45629</v>
      </c>
      <c r="L2931" s="1" t="s">
        <v>20</v>
      </c>
      <c r="M2931" s="1" t="s">
        <v>22</v>
      </c>
      <c r="N2931" s="5">
        <v>45629</v>
      </c>
    </row>
    <row r="2932" spans="1:14" x14ac:dyDescent="0.3">
      <c r="A2932" s="1" t="str">
        <f>"1_6082/2129-11/2024/А"</f>
        <v>1_6082/2129-11/2024/А</v>
      </c>
      <c r="B2932" s="6">
        <v>45623</v>
      </c>
      <c r="C2932" s="1" t="str">
        <f>"00034"</f>
        <v>00034</v>
      </c>
      <c r="D2932" s="2" t="str">
        <f>"Реєстрація місця проживання"</f>
        <v>Реєстрація місця проживання</v>
      </c>
      <c r="E2932" s="1" t="s">
        <v>20</v>
      </c>
      <c r="F29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32" s="1" t="str">
        <f t="shared" ref="G2932:G2940" si="428">"Фізична особа"</f>
        <v>Фізична особа</v>
      </c>
      <c r="H2932" s="1" t="s">
        <v>20</v>
      </c>
      <c r="I2932" s="1" t="s">
        <v>20</v>
      </c>
      <c r="J2932" s="1" t="str">
        <f t="shared" si="426"/>
        <v>Закрито</v>
      </c>
      <c r="K2932" s="5">
        <v>45623</v>
      </c>
      <c r="L2932" s="1" t="str">
        <f>"45.0"</f>
        <v>45.0</v>
      </c>
      <c r="M2932" s="1" t="s">
        <v>22</v>
      </c>
      <c r="N2932" s="5">
        <v>45623</v>
      </c>
    </row>
    <row r="2933" spans="1:14" x14ac:dyDescent="0.3">
      <c r="A2933" s="1" t="str">
        <f>"29_480-11/2024/к"</f>
        <v>29_480-11/2024/к</v>
      </c>
      <c r="B2933" s="6">
        <v>45623</v>
      </c>
      <c r="C2933" s="1" t="str">
        <f>"33"</f>
        <v>33</v>
      </c>
      <c r="D2933" s="2" t="str">
        <f>"33 Довідки різного характеру"</f>
        <v>33 Довідки різного характеру</v>
      </c>
      <c r="E2933" s="1" t="s">
        <v>20</v>
      </c>
      <c r="F293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33" s="1" t="str">
        <f t="shared" si="428"/>
        <v>Фізична особа</v>
      </c>
      <c r="H2933" s="1" t="s">
        <v>20</v>
      </c>
      <c r="I2933" s="1" t="s">
        <v>20</v>
      </c>
      <c r="J2933" s="1" t="str">
        <f>"Реєстрація"</f>
        <v>Реєстрація</v>
      </c>
      <c r="K2933" s="1" t="s">
        <v>20</v>
      </c>
      <c r="L2933" s="1" t="s">
        <v>20</v>
      </c>
      <c r="M2933" s="1" t="s">
        <v>22</v>
      </c>
      <c r="N2933" s="1" t="s">
        <v>20</v>
      </c>
    </row>
    <row r="2934" spans="1:14" x14ac:dyDescent="0.3">
      <c r="A2934" s="1" t="str">
        <f>"29_481-11/2024/К"</f>
        <v>29_481-11/2024/К</v>
      </c>
      <c r="B2934" s="6">
        <v>45623</v>
      </c>
      <c r="C2934" s="1" t="str">
        <f>"33"</f>
        <v>33</v>
      </c>
      <c r="D2934" s="2" t="str">
        <f>"33 Довідки різного характеру"</f>
        <v>33 Довідки різного характеру</v>
      </c>
      <c r="E2934" s="1" t="s">
        <v>20</v>
      </c>
      <c r="F29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34" s="1" t="str">
        <f t="shared" si="428"/>
        <v>Фізична особа</v>
      </c>
      <c r="H2934" s="1" t="s">
        <v>20</v>
      </c>
      <c r="I2934" s="1" t="s">
        <v>20</v>
      </c>
      <c r="J2934" s="1" t="str">
        <f>"Закрито"</f>
        <v>Закрито</v>
      </c>
      <c r="K2934" s="5">
        <v>45623</v>
      </c>
      <c r="L2934" s="1" t="s">
        <v>20</v>
      </c>
      <c r="M2934" s="1" t="s">
        <v>22</v>
      </c>
      <c r="N2934" s="5">
        <v>45623</v>
      </c>
    </row>
    <row r="2935" spans="1:14" x14ac:dyDescent="0.3">
      <c r="A2935" s="1" t="str">
        <f>"29_482-11/2024/К"</f>
        <v>29_482-11/2024/К</v>
      </c>
      <c r="B2935" s="6">
        <v>45623</v>
      </c>
      <c r="C2935" s="1" t="str">
        <f>"00155"</f>
        <v>00155</v>
      </c>
      <c r="D2935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35" s="1" t="str">
        <f>"03193413"</f>
        <v>03193413</v>
      </c>
      <c r="F293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35" s="1" t="str">
        <f t="shared" si="428"/>
        <v>Фізична особа</v>
      </c>
      <c r="H2935" s="1" t="s">
        <v>20</v>
      </c>
      <c r="I2935" s="1" t="s">
        <v>20</v>
      </c>
      <c r="J2935" s="1" t="str">
        <f>"На обробці в СНАП"</f>
        <v>На обробці в СНАП</v>
      </c>
      <c r="K2935" s="1" t="s">
        <v>20</v>
      </c>
      <c r="L2935" s="1" t="s">
        <v>20</v>
      </c>
      <c r="M2935" s="1" t="s">
        <v>22</v>
      </c>
      <c r="N2935" s="1" t="s">
        <v>20</v>
      </c>
    </row>
    <row r="2936" spans="1:14" x14ac:dyDescent="0.3">
      <c r="A2936" s="1" t="str">
        <f>"1_6083/2129-11/2024/А"</f>
        <v>1_6083/2129-11/2024/А</v>
      </c>
      <c r="B2936" s="6">
        <v>45623</v>
      </c>
      <c r="C2936" s="1" t="str">
        <f>"01217"</f>
        <v>01217</v>
      </c>
      <c r="D2936" s="2" t="str">
        <f>"Реєстрація місця проживання дитини до 14 років"</f>
        <v>Реєстрація місця проживання дитини до 14 років</v>
      </c>
      <c r="E2936" s="1" t="s">
        <v>20</v>
      </c>
      <c r="F293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36" s="1" t="str">
        <f t="shared" si="428"/>
        <v>Фізична особа</v>
      </c>
      <c r="H2936" s="1" t="s">
        <v>20</v>
      </c>
      <c r="I2936" s="1" t="s">
        <v>20</v>
      </c>
      <c r="J2936" s="1" t="str">
        <f>"Закрито"</f>
        <v>Закрито</v>
      </c>
      <c r="K2936" s="5">
        <v>45623</v>
      </c>
      <c r="L2936" s="1" t="str">
        <f>"45.0"</f>
        <v>45.0</v>
      </c>
      <c r="M2936" s="1" t="s">
        <v>22</v>
      </c>
      <c r="N2936" s="5">
        <v>45623</v>
      </c>
    </row>
    <row r="2937" spans="1:14" x14ac:dyDescent="0.3">
      <c r="A2937" s="1" t="str">
        <f>"14_1040-11/2024/К"</f>
        <v>14_1040-11/2024/К</v>
      </c>
      <c r="B2937" s="6">
        <v>45623</v>
      </c>
      <c r="C2937" s="1" t="str">
        <f>"00155"</f>
        <v>00155</v>
      </c>
      <c r="D2937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37" s="1" t="str">
        <f>"03193413"</f>
        <v>03193413</v>
      </c>
      <c r="F293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37" s="1" t="str">
        <f t="shared" si="428"/>
        <v>Фізична особа</v>
      </c>
      <c r="H2937" s="1" t="s">
        <v>20</v>
      </c>
      <c r="I2937" s="1" t="s">
        <v>20</v>
      </c>
      <c r="J2937" s="1" t="str">
        <f>"На обробці в СНАП"</f>
        <v>На обробці в СНАП</v>
      </c>
      <c r="K2937" s="1" t="s">
        <v>20</v>
      </c>
      <c r="L2937" s="1" t="s">
        <v>20</v>
      </c>
      <c r="M2937" s="1" t="s">
        <v>22</v>
      </c>
      <c r="N2937" s="1" t="s">
        <v>20</v>
      </c>
    </row>
    <row r="2938" spans="1:14" x14ac:dyDescent="0.3">
      <c r="A2938" s="1" t="str">
        <f>"35_523-11/2024/П"</f>
        <v>35_523-11/2024/П</v>
      </c>
      <c r="B2938" s="6">
        <v>45623</v>
      </c>
      <c r="C2938" s="1" t="str">
        <f>"00038"</f>
        <v>00038</v>
      </c>
      <c r="D293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38" s="1" t="s">
        <v>20</v>
      </c>
      <c r="F293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38" s="1" t="str">
        <f t="shared" si="428"/>
        <v>Фізична особа</v>
      </c>
      <c r="H2938" s="1" t="s">
        <v>20</v>
      </c>
      <c r="I2938" s="1" t="s">
        <v>20</v>
      </c>
      <c r="J2938" s="1" t="str">
        <f>"Закрито"</f>
        <v>Закрито</v>
      </c>
      <c r="K2938" s="5">
        <v>45623</v>
      </c>
      <c r="L2938" s="1" t="s">
        <v>20</v>
      </c>
      <c r="M2938" s="1" t="s">
        <v>22</v>
      </c>
      <c r="N2938" s="5">
        <v>45623</v>
      </c>
    </row>
    <row r="2939" spans="1:14" x14ac:dyDescent="0.3">
      <c r="A2939" s="1" t="str">
        <f>"1_6084/2129-11/2024/А"</f>
        <v>1_6084/2129-11/2024/А</v>
      </c>
      <c r="B2939" s="6">
        <v>45623</v>
      </c>
      <c r="C2939" s="1" t="str">
        <f>"00038"</f>
        <v>00038</v>
      </c>
      <c r="D293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39" s="1" t="s">
        <v>20</v>
      </c>
      <c r="F293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39" s="1" t="str">
        <f t="shared" si="428"/>
        <v>Фізична особа</v>
      </c>
      <c r="H2939" s="1" t="s">
        <v>20</v>
      </c>
      <c r="I2939" s="1" t="s">
        <v>20</v>
      </c>
      <c r="J2939" s="1" t="str">
        <f>"Закрито"</f>
        <v>Закрито</v>
      </c>
      <c r="K2939" s="5">
        <v>45623</v>
      </c>
      <c r="L2939" s="1" t="s">
        <v>20</v>
      </c>
      <c r="M2939" s="1" t="s">
        <v>22</v>
      </c>
      <c r="N2939" s="5">
        <v>45623</v>
      </c>
    </row>
    <row r="2940" spans="1:14" x14ac:dyDescent="0.3">
      <c r="A2940" s="1" t="str">
        <f>"3_1445/4-11/2024/Ш"</f>
        <v>3_1445/4-11/2024/Ш</v>
      </c>
      <c r="B2940" s="6">
        <v>45623</v>
      </c>
      <c r="C2940" s="1" t="str">
        <f>"00060"</f>
        <v>00060</v>
      </c>
      <c r="D2940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940" s="1" t="s">
        <v>20</v>
      </c>
      <c r="F2940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940" s="1" t="str">
        <f t="shared" si="428"/>
        <v>Фізична особа</v>
      </c>
      <c r="H2940" s="1" t="s">
        <v>20</v>
      </c>
      <c r="I2940" s="1" t="s">
        <v>20</v>
      </c>
      <c r="J2940" s="1" t="str">
        <f>"Результат підготовлено СНАП"</f>
        <v>Результат підготовлено СНАП</v>
      </c>
      <c r="K2940" s="5">
        <v>45632</v>
      </c>
      <c r="L2940" s="1" t="str">
        <f>"151.4"</f>
        <v>151.4</v>
      </c>
      <c r="M2940" s="1" t="s">
        <v>22</v>
      </c>
      <c r="N2940" s="1" t="s">
        <v>20</v>
      </c>
    </row>
    <row r="2941" spans="1:14" x14ac:dyDescent="0.3">
      <c r="A2941" s="1" t="str">
        <f>"30_642-11/2024/Р"</f>
        <v>30_642-11/2024/Р</v>
      </c>
      <c r="B2941" s="6">
        <v>45623</v>
      </c>
      <c r="C2941" s="1" t="str">
        <f>"33"</f>
        <v>33</v>
      </c>
      <c r="D2941" s="2" t="str">
        <f>"33 Довідки різного характеру"</f>
        <v>33 Довідки різного характеру</v>
      </c>
      <c r="E2941" s="1" t="s">
        <v>20</v>
      </c>
      <c r="F294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41" s="1" t="str">
        <f>"Юридична особа"</f>
        <v>Юридична особа</v>
      </c>
      <c r="H2941" s="1" t="str">
        <f>"Рогатинський районний суд"</f>
        <v>Рогатинський районний суд</v>
      </c>
      <c r="I2941" s="1" t="s">
        <v>20</v>
      </c>
      <c r="J2941" s="1" t="str">
        <f t="shared" ref="J2941:J2956" si="429">"Закрито"</f>
        <v>Закрито</v>
      </c>
      <c r="K2941" s="5">
        <v>45623</v>
      </c>
      <c r="L2941" s="1" t="s">
        <v>20</v>
      </c>
      <c r="M2941" s="1" t="s">
        <v>22</v>
      </c>
      <c r="N2941" s="5">
        <v>45623</v>
      </c>
    </row>
    <row r="2942" spans="1:14" x14ac:dyDescent="0.3">
      <c r="A2942" s="1" t="str">
        <f>"1_6085/2129-11/2024/А"</f>
        <v>1_6085/2129-11/2024/А</v>
      </c>
      <c r="B2942" s="6">
        <v>45623</v>
      </c>
      <c r="C2942" s="1" t="str">
        <f>"00038"</f>
        <v>00038</v>
      </c>
      <c r="D294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42" s="1" t="s">
        <v>20</v>
      </c>
      <c r="F294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42" s="1" t="str">
        <f t="shared" ref="G2942:G2976" si="430">"Фізична особа"</f>
        <v>Фізична особа</v>
      </c>
      <c r="H2942" s="1" t="s">
        <v>20</v>
      </c>
      <c r="I2942" s="1" t="s">
        <v>20</v>
      </c>
      <c r="J2942" s="1" t="str">
        <f t="shared" si="429"/>
        <v>Закрито</v>
      </c>
      <c r="K2942" s="5">
        <v>45623</v>
      </c>
      <c r="L2942" s="1" t="s">
        <v>20</v>
      </c>
      <c r="M2942" s="1" t="s">
        <v>22</v>
      </c>
      <c r="N2942" s="5">
        <v>45623</v>
      </c>
    </row>
    <row r="2943" spans="1:14" x14ac:dyDescent="0.3">
      <c r="A2943" s="1" t="str">
        <f>"28_673-11/2024/К"</f>
        <v>28_673-11/2024/К</v>
      </c>
      <c r="B2943" s="6">
        <v>45623</v>
      </c>
      <c r="C2943" s="1" t="str">
        <f>"00038"</f>
        <v>00038</v>
      </c>
      <c r="D294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43" s="1" t="s">
        <v>20</v>
      </c>
      <c r="F294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43" s="1" t="str">
        <f t="shared" si="430"/>
        <v>Фізична особа</v>
      </c>
      <c r="H2943" s="1" t="s">
        <v>20</v>
      </c>
      <c r="I2943" s="1" t="s">
        <v>20</v>
      </c>
      <c r="J2943" s="1" t="str">
        <f t="shared" si="429"/>
        <v>Закрито</v>
      </c>
      <c r="K2943" s="5">
        <v>45623</v>
      </c>
      <c r="L2943" s="1" t="s">
        <v>20</v>
      </c>
      <c r="M2943" s="1" t="s">
        <v>22</v>
      </c>
      <c r="N2943" s="5">
        <v>45623</v>
      </c>
    </row>
    <row r="2944" spans="1:14" x14ac:dyDescent="0.3">
      <c r="A2944" s="1" t="str">
        <f>"1_6086/2129-11/2024/О"</f>
        <v>1_6086/2129-11/2024/О</v>
      </c>
      <c r="B2944" s="6">
        <v>45623</v>
      </c>
      <c r="C2944" s="1" t="str">
        <f>"00038"</f>
        <v>00038</v>
      </c>
      <c r="D294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44" s="1" t="s">
        <v>20</v>
      </c>
      <c r="F294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44" s="1" t="str">
        <f t="shared" si="430"/>
        <v>Фізична особа</v>
      </c>
      <c r="H2944" s="1" t="s">
        <v>20</v>
      </c>
      <c r="I2944" s="1" t="s">
        <v>20</v>
      </c>
      <c r="J2944" s="1" t="str">
        <f t="shared" si="429"/>
        <v>Закрито</v>
      </c>
      <c r="K2944" s="5">
        <v>45623</v>
      </c>
      <c r="L2944" s="1" t="s">
        <v>20</v>
      </c>
      <c r="M2944" s="1" t="s">
        <v>22</v>
      </c>
      <c r="N2944" s="5">
        <v>45623</v>
      </c>
    </row>
    <row r="2945" spans="1:14" x14ac:dyDescent="0.3">
      <c r="A2945" s="1" t="str">
        <f>"4_1313/03193413-11/2024/Т"</f>
        <v>4_1313/03193413-11/2024/Т</v>
      </c>
      <c r="B2945" s="6">
        <v>45623</v>
      </c>
      <c r="C2945" s="1" t="str">
        <f>"00103"</f>
        <v>00103</v>
      </c>
      <c r="D2945" s="2" t="s">
        <v>1</v>
      </c>
      <c r="E2945" s="1" t="str">
        <f>"03193413"</f>
        <v>03193413</v>
      </c>
      <c r="F294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45" s="1" t="str">
        <f t="shared" si="430"/>
        <v>Фізична особа</v>
      </c>
      <c r="H2945" s="1" t="s">
        <v>20</v>
      </c>
      <c r="I2945" s="1" t="s">
        <v>20</v>
      </c>
      <c r="J2945" s="1" t="str">
        <f t="shared" si="429"/>
        <v>Закрито</v>
      </c>
      <c r="K2945" s="5">
        <v>45623</v>
      </c>
      <c r="L2945" s="1" t="s">
        <v>20</v>
      </c>
      <c r="M2945" s="1" t="s">
        <v>22</v>
      </c>
      <c r="N2945" s="5">
        <v>45623</v>
      </c>
    </row>
    <row r="2946" spans="1:14" x14ac:dyDescent="0.3">
      <c r="A2946" s="1" t="str">
        <f>"2_2155/04054323-11/2024/Щ"</f>
        <v>2_2155/04054323-11/2024/Щ</v>
      </c>
      <c r="B2946" s="6">
        <v>45623</v>
      </c>
      <c r="C2946" s="1" t="str">
        <f>"00153"</f>
        <v>00153</v>
      </c>
      <c r="D2946" s="2" t="str">
        <f>"Прийняття рішення про присвоєння адреси об’єкту нерухомого майна"</f>
        <v>Прийняття рішення про присвоєння адреси об’єкту нерухомого майна</v>
      </c>
      <c r="E2946" s="1" t="str">
        <f>"04054323"</f>
        <v>04054323</v>
      </c>
      <c r="F2946" s="1" t="str">
        <f>"Рогатинська міська рада"</f>
        <v>Рогатинська міська рада</v>
      </c>
      <c r="G2946" s="1" t="str">
        <f t="shared" si="430"/>
        <v>Фізична особа</v>
      </c>
      <c r="H2946" s="1" t="s">
        <v>20</v>
      </c>
      <c r="I2946" s="1" t="s">
        <v>20</v>
      </c>
      <c r="J2946" s="1" t="str">
        <f t="shared" si="429"/>
        <v>Закрито</v>
      </c>
      <c r="K2946" s="5">
        <v>45628</v>
      </c>
      <c r="L2946" s="1" t="s">
        <v>20</v>
      </c>
      <c r="M2946" s="1" t="s">
        <v>22</v>
      </c>
      <c r="N2946" s="5">
        <v>45628</v>
      </c>
    </row>
    <row r="2947" spans="1:14" x14ac:dyDescent="0.3">
      <c r="A2947" s="1" t="str">
        <f>"12_923-11/2024/Г"</f>
        <v>12_923-11/2024/Г</v>
      </c>
      <c r="B2947" s="6">
        <v>45623</v>
      </c>
      <c r="C2947" s="1" t="str">
        <f>"00038"</f>
        <v>00038</v>
      </c>
      <c r="D294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47" s="1" t="s">
        <v>20</v>
      </c>
      <c r="F2947" s="1" t="str">
        <f t="shared" ref="F2947:F2956" si="43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47" s="1" t="str">
        <f t="shared" si="430"/>
        <v>Фізична особа</v>
      </c>
      <c r="H2947" s="1" t="s">
        <v>20</v>
      </c>
      <c r="I2947" s="1" t="s">
        <v>20</v>
      </c>
      <c r="J2947" s="1" t="str">
        <f t="shared" si="429"/>
        <v>Закрито</v>
      </c>
      <c r="K2947" s="5">
        <v>45623</v>
      </c>
      <c r="L2947" s="1" t="s">
        <v>20</v>
      </c>
      <c r="M2947" s="1" t="s">
        <v>22</v>
      </c>
      <c r="N2947" s="5">
        <v>45623</v>
      </c>
    </row>
    <row r="2948" spans="1:14" x14ac:dyDescent="0.3">
      <c r="A2948" s="1" t="str">
        <f>"30_643-11/2024/Г"</f>
        <v>30_643-11/2024/Г</v>
      </c>
      <c r="B2948" s="6">
        <v>45623</v>
      </c>
      <c r="C2948" s="1" t="str">
        <f>"00038"</f>
        <v>00038</v>
      </c>
      <c r="D294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48" s="1" t="s">
        <v>20</v>
      </c>
      <c r="F2948" s="1" t="str">
        <f t="shared" si="431"/>
        <v>Центр надання адміністративних послуг Рогатинської міської ради</v>
      </c>
      <c r="G2948" s="1" t="str">
        <f t="shared" si="430"/>
        <v>Фізична особа</v>
      </c>
      <c r="H2948" s="1" t="s">
        <v>20</v>
      </c>
      <c r="I2948" s="1" t="s">
        <v>20</v>
      </c>
      <c r="J2948" s="1" t="str">
        <f t="shared" si="429"/>
        <v>Закрито</v>
      </c>
      <c r="K2948" s="5">
        <v>45623</v>
      </c>
      <c r="L2948" s="1" t="s">
        <v>20</v>
      </c>
      <c r="M2948" s="1" t="s">
        <v>22</v>
      </c>
      <c r="N2948" s="5">
        <v>45623</v>
      </c>
    </row>
    <row r="2949" spans="1:14" x14ac:dyDescent="0.3">
      <c r="A2949" s="1" t="str">
        <f>"25_445-11/2024/Б"</f>
        <v>25_445-11/2024/Б</v>
      </c>
      <c r="B2949" s="6">
        <v>45623</v>
      </c>
      <c r="C2949" s="1" t="str">
        <f>"00038"</f>
        <v>00038</v>
      </c>
      <c r="D294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49" s="1" t="s">
        <v>20</v>
      </c>
      <c r="F2949" s="1" t="str">
        <f t="shared" si="431"/>
        <v>Центр надання адміністративних послуг Рогатинської міської ради</v>
      </c>
      <c r="G2949" s="1" t="str">
        <f t="shared" si="430"/>
        <v>Фізична особа</v>
      </c>
      <c r="H2949" s="1" t="s">
        <v>20</v>
      </c>
      <c r="I2949" s="1" t="s">
        <v>20</v>
      </c>
      <c r="J2949" s="1" t="str">
        <f t="shared" si="429"/>
        <v>Закрито</v>
      </c>
      <c r="K2949" s="5">
        <v>45623</v>
      </c>
      <c r="L2949" s="1" t="s">
        <v>20</v>
      </c>
      <c r="M2949" s="1" t="s">
        <v>22</v>
      </c>
      <c r="N2949" s="5">
        <v>45623</v>
      </c>
    </row>
    <row r="2950" spans="1:14" x14ac:dyDescent="0.3">
      <c r="A2950" s="1" t="str">
        <f>"12_924-11/2024/Г"</f>
        <v>12_924-11/2024/Г</v>
      </c>
      <c r="B2950" s="6">
        <v>45623</v>
      </c>
      <c r="C2950" s="1" t="str">
        <f>"00038"</f>
        <v>00038</v>
      </c>
      <c r="D295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50" s="1" t="s">
        <v>20</v>
      </c>
      <c r="F2950" s="1" t="str">
        <f t="shared" si="431"/>
        <v>Центр надання адміністративних послуг Рогатинської міської ради</v>
      </c>
      <c r="G2950" s="1" t="str">
        <f t="shared" si="430"/>
        <v>Фізична особа</v>
      </c>
      <c r="H2950" s="1" t="s">
        <v>20</v>
      </c>
      <c r="I2950" s="1" t="s">
        <v>20</v>
      </c>
      <c r="J2950" s="1" t="str">
        <f t="shared" si="429"/>
        <v>Закрито</v>
      </c>
      <c r="K2950" s="5">
        <v>45623</v>
      </c>
      <c r="L2950" s="1" t="s">
        <v>20</v>
      </c>
      <c r="M2950" s="1" t="s">
        <v>22</v>
      </c>
      <c r="N2950" s="5">
        <v>45623</v>
      </c>
    </row>
    <row r="2951" spans="1:14" x14ac:dyDescent="0.3">
      <c r="A2951" s="1" t="str">
        <f>"14_1041-11/2024/Д"</f>
        <v>14_1041-11/2024/Д</v>
      </c>
      <c r="B2951" s="6">
        <v>45623</v>
      </c>
      <c r="C2951" s="1" t="str">
        <f>"33"</f>
        <v>33</v>
      </c>
      <c r="D2951" s="2" t="str">
        <f>"33 Довідки різного характеру"</f>
        <v>33 Довідки різного характеру</v>
      </c>
      <c r="E2951" s="1" t="s">
        <v>20</v>
      </c>
      <c r="F2951" s="1" t="str">
        <f t="shared" si="431"/>
        <v>Центр надання адміністративних послуг Рогатинської міської ради</v>
      </c>
      <c r="G2951" s="1" t="str">
        <f t="shared" si="430"/>
        <v>Фізична особа</v>
      </c>
      <c r="H2951" s="1" t="s">
        <v>20</v>
      </c>
      <c r="I2951" s="1" t="s">
        <v>20</v>
      </c>
      <c r="J2951" s="1" t="str">
        <f t="shared" si="429"/>
        <v>Закрито</v>
      </c>
      <c r="K2951" s="5">
        <v>45623</v>
      </c>
      <c r="L2951" s="1" t="s">
        <v>20</v>
      </c>
      <c r="M2951" s="1" t="s">
        <v>22</v>
      </c>
      <c r="N2951" s="5">
        <v>45623</v>
      </c>
    </row>
    <row r="2952" spans="1:14" x14ac:dyDescent="0.3">
      <c r="A2952" s="1" t="str">
        <f>"20_190-11/2024/С"</f>
        <v>20_190-11/2024/С</v>
      </c>
      <c r="B2952" s="6">
        <v>45623</v>
      </c>
      <c r="C2952" s="1" t="str">
        <f>"00038"</f>
        <v>00038</v>
      </c>
      <c r="D295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52" s="1" t="s">
        <v>20</v>
      </c>
      <c r="F2952" s="1" t="str">
        <f t="shared" si="431"/>
        <v>Центр надання адміністративних послуг Рогатинської міської ради</v>
      </c>
      <c r="G2952" s="1" t="str">
        <f t="shared" si="430"/>
        <v>Фізична особа</v>
      </c>
      <c r="H2952" s="1" t="s">
        <v>20</v>
      </c>
      <c r="I2952" s="1" t="s">
        <v>20</v>
      </c>
      <c r="J2952" s="1" t="str">
        <f t="shared" si="429"/>
        <v>Закрито</v>
      </c>
      <c r="K2952" s="5">
        <v>45623</v>
      </c>
      <c r="L2952" s="1" t="s">
        <v>20</v>
      </c>
      <c r="M2952" s="1" t="s">
        <v>22</v>
      </c>
      <c r="N2952" s="5">
        <v>45623</v>
      </c>
    </row>
    <row r="2953" spans="1:14" x14ac:dyDescent="0.3">
      <c r="A2953" s="1" t="str">
        <f>"1_6087/2129-11/2024/Щ"</f>
        <v>1_6087/2129-11/2024/Щ</v>
      </c>
      <c r="B2953" s="6">
        <v>45623</v>
      </c>
      <c r="C2953" s="1" t="str">
        <f>"00038"</f>
        <v>00038</v>
      </c>
      <c r="D295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53" s="1" t="s">
        <v>20</v>
      </c>
      <c r="F2953" s="1" t="str">
        <f t="shared" si="431"/>
        <v>Центр надання адміністративних послуг Рогатинської міської ради</v>
      </c>
      <c r="G2953" s="1" t="str">
        <f t="shared" si="430"/>
        <v>Фізична особа</v>
      </c>
      <c r="H2953" s="1" t="s">
        <v>20</v>
      </c>
      <c r="I2953" s="1" t="s">
        <v>20</v>
      </c>
      <c r="J2953" s="1" t="str">
        <f t="shared" si="429"/>
        <v>Закрито</v>
      </c>
      <c r="K2953" s="5">
        <v>45623</v>
      </c>
      <c r="L2953" s="1" t="s">
        <v>20</v>
      </c>
      <c r="M2953" s="1" t="s">
        <v>22</v>
      </c>
      <c r="N2953" s="5">
        <v>45623</v>
      </c>
    </row>
    <row r="2954" spans="1:14" x14ac:dyDescent="0.3">
      <c r="A2954" s="1" t="str">
        <f>"25_446-11/2024/В"</f>
        <v>25_446-11/2024/В</v>
      </c>
      <c r="B2954" s="6">
        <v>45623</v>
      </c>
      <c r="C2954" s="1" t="str">
        <f>"00038"</f>
        <v>00038</v>
      </c>
      <c r="D295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54" s="1" t="s">
        <v>20</v>
      </c>
      <c r="F2954" s="1" t="str">
        <f t="shared" si="431"/>
        <v>Центр надання адміністративних послуг Рогатинської міської ради</v>
      </c>
      <c r="G2954" s="1" t="str">
        <f t="shared" si="430"/>
        <v>Фізична особа</v>
      </c>
      <c r="H2954" s="1" t="s">
        <v>20</v>
      </c>
      <c r="I2954" s="1" t="s">
        <v>20</v>
      </c>
      <c r="J2954" s="1" t="str">
        <f t="shared" si="429"/>
        <v>Закрито</v>
      </c>
      <c r="K2954" s="5">
        <v>45624</v>
      </c>
      <c r="L2954" s="1" t="s">
        <v>20</v>
      </c>
      <c r="M2954" s="1" t="s">
        <v>22</v>
      </c>
      <c r="N2954" s="5">
        <v>45624</v>
      </c>
    </row>
    <row r="2955" spans="1:14" x14ac:dyDescent="0.3">
      <c r="A2955" s="1" t="str">
        <f>"12_925-11/2024/Г"</f>
        <v>12_925-11/2024/Г</v>
      </c>
      <c r="B2955" s="6">
        <v>45623</v>
      </c>
      <c r="C2955" s="1" t="str">
        <f>"00038"</f>
        <v>00038</v>
      </c>
      <c r="D295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55" s="1" t="s">
        <v>20</v>
      </c>
      <c r="F2955" s="1" t="str">
        <f t="shared" si="431"/>
        <v>Центр надання адміністративних послуг Рогатинської міської ради</v>
      </c>
      <c r="G2955" s="1" t="str">
        <f t="shared" si="430"/>
        <v>Фізична особа</v>
      </c>
      <c r="H2955" s="1" t="s">
        <v>20</v>
      </c>
      <c r="I2955" s="1" t="s">
        <v>20</v>
      </c>
      <c r="J2955" s="1" t="str">
        <f t="shared" si="429"/>
        <v>Закрито</v>
      </c>
      <c r="K2955" s="5">
        <v>45623</v>
      </c>
      <c r="L2955" s="1" t="s">
        <v>20</v>
      </c>
      <c r="M2955" s="1" t="s">
        <v>22</v>
      </c>
      <c r="N2955" s="5">
        <v>45623</v>
      </c>
    </row>
    <row r="2956" spans="1:14" x14ac:dyDescent="0.3">
      <c r="A2956" s="1" t="str">
        <f>"25_447-11/2024/В"</f>
        <v>25_447-11/2024/В</v>
      </c>
      <c r="B2956" s="6">
        <v>45623</v>
      </c>
      <c r="C2956" s="1" t="str">
        <f>"00038"</f>
        <v>00038</v>
      </c>
      <c r="D295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56" s="1" t="s">
        <v>20</v>
      </c>
      <c r="F2956" s="1" t="str">
        <f t="shared" si="431"/>
        <v>Центр надання адміністративних послуг Рогатинської міської ради</v>
      </c>
      <c r="G2956" s="1" t="str">
        <f t="shared" si="430"/>
        <v>Фізична особа</v>
      </c>
      <c r="H2956" s="1" t="s">
        <v>20</v>
      </c>
      <c r="I2956" s="1" t="s">
        <v>20</v>
      </c>
      <c r="J2956" s="1" t="str">
        <f t="shared" si="429"/>
        <v>Закрито</v>
      </c>
      <c r="K2956" s="5">
        <v>45623</v>
      </c>
      <c r="L2956" s="1" t="s">
        <v>20</v>
      </c>
      <c r="M2956" s="1" t="s">
        <v>22</v>
      </c>
      <c r="N2956" s="5">
        <v>45623</v>
      </c>
    </row>
    <row r="2957" spans="1:14" x14ac:dyDescent="0.3">
      <c r="A2957" s="1" t="str">
        <f>"9_1733/04054323-11/2024/С"</f>
        <v>9_1733/04054323-11/2024/С</v>
      </c>
      <c r="B2957" s="6">
        <v>45623</v>
      </c>
      <c r="C2957" s="1" t="str">
        <f>"011"</f>
        <v>011</v>
      </c>
      <c r="D2957" s="2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2957" s="1" t="str">
        <f>"04054323"</f>
        <v>04054323</v>
      </c>
      <c r="F2957" s="1" t="str">
        <f>"Рогатинська міська рада"</f>
        <v>Рогатинська міська рада</v>
      </c>
      <c r="G2957" s="1" t="str">
        <f t="shared" si="430"/>
        <v>Фізична особа</v>
      </c>
      <c r="H2957" s="1" t="s">
        <v>20</v>
      </c>
      <c r="I2957" s="1" t="s">
        <v>20</v>
      </c>
      <c r="J2957" s="1" t="str">
        <f>"На обробці в СНАП"</f>
        <v>На обробці в СНАП</v>
      </c>
      <c r="K2957" s="1" t="s">
        <v>20</v>
      </c>
      <c r="L2957" s="1" t="s">
        <v>20</v>
      </c>
      <c r="M2957" s="1" t="s">
        <v>22</v>
      </c>
      <c r="N2957" s="1" t="s">
        <v>20</v>
      </c>
    </row>
    <row r="2958" spans="1:14" x14ac:dyDescent="0.3">
      <c r="A2958" s="1" t="str">
        <f>"12_926-11/2024/Г"</f>
        <v>12_926-11/2024/Г</v>
      </c>
      <c r="B2958" s="6">
        <v>45623</v>
      </c>
      <c r="C2958" s="1" t="str">
        <f>"00038"</f>
        <v>00038</v>
      </c>
      <c r="D295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58" s="1" t="s">
        <v>20</v>
      </c>
      <c r="F295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58" s="1" t="str">
        <f t="shared" si="430"/>
        <v>Фізична особа</v>
      </c>
      <c r="H2958" s="1" t="s">
        <v>20</v>
      </c>
      <c r="I2958" s="1" t="s">
        <v>20</v>
      </c>
      <c r="J2958" s="1" t="str">
        <f>"Закрито"</f>
        <v>Закрито</v>
      </c>
      <c r="K2958" s="5">
        <v>45623</v>
      </c>
      <c r="L2958" s="1" t="s">
        <v>20</v>
      </c>
      <c r="M2958" s="1" t="s">
        <v>22</v>
      </c>
      <c r="N2958" s="5">
        <v>45623</v>
      </c>
    </row>
    <row r="2959" spans="1:14" x14ac:dyDescent="0.3">
      <c r="A2959" s="1" t="str">
        <f>"25_448-11/2024/П"</f>
        <v>25_448-11/2024/П</v>
      </c>
      <c r="B2959" s="6">
        <v>45623</v>
      </c>
      <c r="C2959" s="1" t="str">
        <f>"01974"</f>
        <v>01974</v>
      </c>
      <c r="D2959" s="2" t="str">
        <f>"Призначення пільги на оплату житла, комунальних послуг"</f>
        <v>Призначення пільги на оплату житла, комунальних послуг</v>
      </c>
      <c r="E2959" s="1" t="str">
        <f>"03193413"</f>
        <v>03193413</v>
      </c>
      <c r="F295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59" s="1" t="str">
        <f t="shared" si="430"/>
        <v>Фізична особа</v>
      </c>
      <c r="H2959" s="1" t="s">
        <v>20</v>
      </c>
      <c r="I2959" s="1" t="s">
        <v>20</v>
      </c>
      <c r="J2959" s="1" t="str">
        <f>"Результат підготовлено СНАП"</f>
        <v>Результат підготовлено СНАП</v>
      </c>
      <c r="K2959" s="5">
        <v>45644</v>
      </c>
      <c r="L2959" s="1" t="s">
        <v>20</v>
      </c>
      <c r="M2959" s="1" t="s">
        <v>22</v>
      </c>
      <c r="N2959" s="1" t="s">
        <v>20</v>
      </c>
    </row>
    <row r="2960" spans="1:14" x14ac:dyDescent="0.3">
      <c r="A2960" s="1" t="str">
        <f>"4_1032-11/2024/Г"</f>
        <v>4_1032-11/2024/Г</v>
      </c>
      <c r="B2960" s="6">
        <v>45623</v>
      </c>
      <c r="C2960" s="1" t="str">
        <f>"00155"</f>
        <v>00155</v>
      </c>
      <c r="D2960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60" s="1" t="str">
        <f>"03193413"</f>
        <v>03193413</v>
      </c>
      <c r="F296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60" s="1" t="str">
        <f t="shared" si="430"/>
        <v>Фізична особа</v>
      </c>
      <c r="H2960" s="1" t="s">
        <v>20</v>
      </c>
      <c r="I2960" s="1" t="s">
        <v>20</v>
      </c>
      <c r="J2960" s="1" t="str">
        <f>"Закрито"</f>
        <v>Закрито</v>
      </c>
      <c r="K2960" s="5">
        <v>45623</v>
      </c>
      <c r="L2960" s="1" t="s">
        <v>20</v>
      </c>
      <c r="M2960" s="1" t="s">
        <v>22</v>
      </c>
      <c r="N2960" s="5">
        <v>45623</v>
      </c>
    </row>
    <row r="2961" spans="1:14" x14ac:dyDescent="0.3">
      <c r="A2961" s="1" t="str">
        <f>"20_191-11/2024/С"</f>
        <v>20_191-11/2024/С</v>
      </c>
      <c r="B2961" s="6">
        <v>45623</v>
      </c>
      <c r="C2961" s="1" t="str">
        <f>"00038"</f>
        <v>00038</v>
      </c>
      <c r="D296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61" s="1" t="s">
        <v>20</v>
      </c>
      <c r="F296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61" s="1" t="str">
        <f t="shared" si="430"/>
        <v>Фізична особа</v>
      </c>
      <c r="H2961" s="1" t="s">
        <v>20</v>
      </c>
      <c r="I2961" s="1" t="s">
        <v>20</v>
      </c>
      <c r="J2961" s="1" t="str">
        <f>"Закрито"</f>
        <v>Закрито</v>
      </c>
      <c r="K2961" s="5">
        <v>45623</v>
      </c>
      <c r="L2961" s="1" t="s">
        <v>20</v>
      </c>
      <c r="M2961" s="1" t="s">
        <v>22</v>
      </c>
      <c r="N2961" s="5">
        <v>45623</v>
      </c>
    </row>
    <row r="2962" spans="1:14" x14ac:dyDescent="0.3">
      <c r="A2962" s="1" t="str">
        <f>"12_927-11/2024/Г"</f>
        <v>12_927-11/2024/Г</v>
      </c>
      <c r="B2962" s="6">
        <v>45623</v>
      </c>
      <c r="C2962" s="1" t="str">
        <f>"01974"</f>
        <v>01974</v>
      </c>
      <c r="D2962" s="2" t="str">
        <f>"Призначення пільги на оплату житла, комунальних послуг"</f>
        <v>Призначення пільги на оплату житла, комунальних послуг</v>
      </c>
      <c r="E2962" s="1" t="str">
        <f>"03193413"</f>
        <v>03193413</v>
      </c>
      <c r="F296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62" s="1" t="str">
        <f t="shared" si="430"/>
        <v>Фізична особа</v>
      </c>
      <c r="H2962" s="1" t="s">
        <v>20</v>
      </c>
      <c r="I2962" s="1" t="s">
        <v>20</v>
      </c>
      <c r="J2962" s="1" t="str">
        <f>"Закрито"</f>
        <v>Закрито</v>
      </c>
      <c r="K2962" s="5">
        <v>45653</v>
      </c>
      <c r="L2962" s="1" t="s">
        <v>20</v>
      </c>
      <c r="M2962" s="1" t="s">
        <v>22</v>
      </c>
      <c r="N2962" s="5">
        <v>45653</v>
      </c>
    </row>
    <row r="2963" spans="1:14" x14ac:dyDescent="0.3">
      <c r="A2963" s="1" t="str">
        <f>"4_1033-11/2024/Г"</f>
        <v>4_1033-11/2024/Г</v>
      </c>
      <c r="B2963" s="6">
        <v>45623</v>
      </c>
      <c r="C2963" s="1" t="str">
        <f>"00155"</f>
        <v>00155</v>
      </c>
      <c r="D2963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63" s="1" t="str">
        <f>"03193413"</f>
        <v>03193413</v>
      </c>
      <c r="F296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63" s="1" t="str">
        <f t="shared" si="430"/>
        <v>Фізична особа</v>
      </c>
      <c r="H2963" s="1" t="s">
        <v>20</v>
      </c>
      <c r="I2963" s="1" t="s">
        <v>20</v>
      </c>
      <c r="J2963" s="1" t="str">
        <f>"Заявника сповіщено про результат"</f>
        <v>Заявника сповіщено про результат</v>
      </c>
      <c r="K2963" s="5">
        <v>45633</v>
      </c>
      <c r="L2963" s="1" t="s">
        <v>20</v>
      </c>
      <c r="M2963" s="1" t="s">
        <v>22</v>
      </c>
      <c r="N2963" s="5">
        <v>45637</v>
      </c>
    </row>
    <row r="2964" spans="1:14" x14ac:dyDescent="0.3">
      <c r="A2964" s="1" t="str">
        <f>"4_1034-11/2024/Л"</f>
        <v>4_1034-11/2024/Л</v>
      </c>
      <c r="B2964" s="6">
        <v>45623</v>
      </c>
      <c r="C2964" s="1" t="str">
        <f>"00038"</f>
        <v>00038</v>
      </c>
      <c r="D296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64" s="1" t="s">
        <v>20</v>
      </c>
      <c r="F29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64" s="1" t="str">
        <f t="shared" si="430"/>
        <v>Фізична особа</v>
      </c>
      <c r="H2964" s="1" t="s">
        <v>20</v>
      </c>
      <c r="I2964" s="1" t="s">
        <v>20</v>
      </c>
      <c r="J2964" s="1" t="str">
        <f t="shared" ref="J2964:J2982" si="432">"Закрито"</f>
        <v>Закрито</v>
      </c>
      <c r="K2964" s="5">
        <v>45623</v>
      </c>
      <c r="L2964" s="1" t="s">
        <v>20</v>
      </c>
      <c r="M2964" s="1" t="s">
        <v>22</v>
      </c>
      <c r="N2964" s="5">
        <v>45623</v>
      </c>
    </row>
    <row r="2965" spans="1:14" x14ac:dyDescent="0.3">
      <c r="A2965" s="1" t="str">
        <f>"4_1035-11/2024/Л"</f>
        <v>4_1035-11/2024/Л</v>
      </c>
      <c r="B2965" s="6">
        <v>45623</v>
      </c>
      <c r="C2965" s="1" t="str">
        <f>"00038"</f>
        <v>00038</v>
      </c>
      <c r="D296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65" s="1" t="s">
        <v>20</v>
      </c>
      <c r="F296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65" s="1" t="str">
        <f t="shared" si="430"/>
        <v>Фізична особа</v>
      </c>
      <c r="H2965" s="1" t="s">
        <v>20</v>
      </c>
      <c r="I2965" s="1" t="s">
        <v>20</v>
      </c>
      <c r="J2965" s="1" t="str">
        <f t="shared" si="432"/>
        <v>Закрито</v>
      </c>
      <c r="K2965" s="5">
        <v>45623</v>
      </c>
      <c r="L2965" s="1" t="s">
        <v>20</v>
      </c>
      <c r="M2965" s="1" t="s">
        <v>22</v>
      </c>
      <c r="N2965" s="5">
        <v>45623</v>
      </c>
    </row>
    <row r="2966" spans="1:14" x14ac:dyDescent="0.3">
      <c r="A2966" s="1" t="str">
        <f>"4_1036-11/2024/Г"</f>
        <v>4_1036-11/2024/Г</v>
      </c>
      <c r="B2966" s="6">
        <v>45623</v>
      </c>
      <c r="C2966" s="1" t="str">
        <f>"00038"</f>
        <v>00038</v>
      </c>
      <c r="D296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66" s="1" t="s">
        <v>20</v>
      </c>
      <c r="F296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66" s="1" t="str">
        <f t="shared" si="430"/>
        <v>Фізична особа</v>
      </c>
      <c r="H2966" s="1" t="s">
        <v>20</v>
      </c>
      <c r="I2966" s="1" t="s">
        <v>20</v>
      </c>
      <c r="J2966" s="1" t="str">
        <f t="shared" si="432"/>
        <v>Закрито</v>
      </c>
      <c r="K2966" s="5">
        <v>45623</v>
      </c>
      <c r="L2966" s="1" t="s">
        <v>20</v>
      </c>
      <c r="M2966" s="1" t="s">
        <v>22</v>
      </c>
      <c r="N2966" s="5">
        <v>45623</v>
      </c>
    </row>
    <row r="2967" spans="1:14" x14ac:dyDescent="0.3">
      <c r="A2967" s="1" t="str">
        <f>"34_399-11/2024/В"</f>
        <v>34_399-11/2024/В</v>
      </c>
      <c r="B2967" s="6">
        <v>45623</v>
      </c>
      <c r="C2967" s="1" t="str">
        <f>"00064"</f>
        <v>00064</v>
      </c>
      <c r="D2967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2967" s="1" t="s">
        <v>20</v>
      </c>
      <c r="F2967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967" s="1" t="str">
        <f t="shared" si="430"/>
        <v>Фізична особа</v>
      </c>
      <c r="H2967" s="1" t="s">
        <v>20</v>
      </c>
      <c r="I2967" s="1" t="s">
        <v>20</v>
      </c>
      <c r="J2967" s="1" t="str">
        <f t="shared" si="432"/>
        <v>Закрито</v>
      </c>
      <c r="K2967" s="5">
        <v>45623</v>
      </c>
      <c r="L2967" s="1" t="s">
        <v>20</v>
      </c>
      <c r="M2967" s="1" t="s">
        <v>22</v>
      </c>
      <c r="N2967" s="5">
        <v>45623</v>
      </c>
    </row>
    <row r="2968" spans="1:14" x14ac:dyDescent="0.3">
      <c r="A2968" s="1" t="str">
        <f>"34_400-11/2024/В"</f>
        <v>34_400-11/2024/В</v>
      </c>
      <c r="B2968" s="6">
        <v>45623</v>
      </c>
      <c r="C2968" s="1" t="str">
        <f>"00155"</f>
        <v>00155</v>
      </c>
      <c r="D2968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68" s="1" t="str">
        <f>"03193413"</f>
        <v>03193413</v>
      </c>
      <c r="F296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68" s="1" t="str">
        <f t="shared" si="430"/>
        <v>Фізична особа</v>
      </c>
      <c r="H2968" s="1" t="s">
        <v>20</v>
      </c>
      <c r="I2968" s="1" t="s">
        <v>20</v>
      </c>
      <c r="J2968" s="1" t="str">
        <f t="shared" si="432"/>
        <v>Закрито</v>
      </c>
      <c r="K2968" s="5">
        <v>45656</v>
      </c>
      <c r="L2968" s="1" t="s">
        <v>20</v>
      </c>
      <c r="M2968" s="1" t="s">
        <v>22</v>
      </c>
      <c r="N2968" s="5">
        <v>45656</v>
      </c>
    </row>
    <row r="2969" spans="1:14" x14ac:dyDescent="0.3">
      <c r="A2969" s="1" t="str">
        <f>"34_401-11/2024/Я"</f>
        <v>34_401-11/2024/Я</v>
      </c>
      <c r="B2969" s="6">
        <v>45623</v>
      </c>
      <c r="C2969" s="1" t="str">
        <f>"01296"</f>
        <v>01296</v>
      </c>
      <c r="D2969" s="2" t="str">
        <f>"Видача довідки про проживання без реєстрації"</f>
        <v>Видача довідки про проживання без реєстрації</v>
      </c>
      <c r="E2969" s="1" t="s">
        <v>20</v>
      </c>
      <c r="F296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69" s="1" t="str">
        <f t="shared" si="430"/>
        <v>Фізична особа</v>
      </c>
      <c r="H2969" s="1" t="s">
        <v>20</v>
      </c>
      <c r="I2969" s="1" t="s">
        <v>20</v>
      </c>
      <c r="J2969" s="1" t="str">
        <f t="shared" si="432"/>
        <v>Закрито</v>
      </c>
      <c r="K2969" s="5">
        <v>45623</v>
      </c>
      <c r="L2969" s="1" t="s">
        <v>20</v>
      </c>
      <c r="M2969" s="1" t="s">
        <v>22</v>
      </c>
      <c r="N2969" s="5">
        <v>45623</v>
      </c>
    </row>
    <row r="2970" spans="1:14" x14ac:dyDescent="0.3">
      <c r="A2970" s="1" t="str">
        <f>"4_1314/03193413-11/2024/К"</f>
        <v>4_1314/03193413-11/2024/К</v>
      </c>
      <c r="B2970" s="6">
        <v>45623</v>
      </c>
      <c r="C2970" s="1" t="str">
        <f>"00155"</f>
        <v>00155</v>
      </c>
      <c r="D2970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70" s="1" t="str">
        <f>"03193413"</f>
        <v>03193413</v>
      </c>
      <c r="F297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70" s="1" t="str">
        <f t="shared" si="430"/>
        <v>Фізична особа</v>
      </c>
      <c r="H2970" s="1" t="s">
        <v>20</v>
      </c>
      <c r="I2970" s="1" t="s">
        <v>20</v>
      </c>
      <c r="J2970" s="1" t="str">
        <f t="shared" si="432"/>
        <v>Закрито</v>
      </c>
      <c r="K2970" s="5">
        <v>45623</v>
      </c>
      <c r="L2970" s="1" t="s">
        <v>20</v>
      </c>
      <c r="M2970" s="1" t="s">
        <v>22</v>
      </c>
      <c r="N2970" s="5">
        <v>45623</v>
      </c>
    </row>
    <row r="2971" spans="1:14" x14ac:dyDescent="0.3">
      <c r="A2971" s="1" t="str">
        <f>"4_1037-11/2024/Л"</f>
        <v>4_1037-11/2024/Л</v>
      </c>
      <c r="B2971" s="6">
        <v>45623</v>
      </c>
      <c r="C2971" s="1" t="str">
        <f>"33"</f>
        <v>33</v>
      </c>
      <c r="D2971" s="2" t="str">
        <f>"33 Довідки різного характеру"</f>
        <v>33 Довідки різного характеру</v>
      </c>
      <c r="E2971" s="1" t="s">
        <v>20</v>
      </c>
      <c r="F297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71" s="1" t="str">
        <f t="shared" si="430"/>
        <v>Фізична особа</v>
      </c>
      <c r="H2971" s="1" t="s">
        <v>20</v>
      </c>
      <c r="I2971" s="1" t="s">
        <v>20</v>
      </c>
      <c r="J2971" s="1" t="str">
        <f t="shared" si="432"/>
        <v>Закрито</v>
      </c>
      <c r="K2971" s="5">
        <v>45623</v>
      </c>
      <c r="L2971" s="1" t="s">
        <v>20</v>
      </c>
      <c r="M2971" s="1" t="s">
        <v>22</v>
      </c>
      <c r="N2971" s="5">
        <v>45623</v>
      </c>
    </row>
    <row r="2972" spans="1:14" x14ac:dyDescent="0.3">
      <c r="A2972" s="1" t="str">
        <f>"4_1038-11/2024/Я"</f>
        <v>4_1038-11/2024/Я</v>
      </c>
      <c r="B2972" s="6">
        <v>45623</v>
      </c>
      <c r="C2972" s="1" t="str">
        <f>"00038"</f>
        <v>00038</v>
      </c>
      <c r="D297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72" s="1" t="s">
        <v>20</v>
      </c>
      <c r="F297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72" s="1" t="str">
        <f t="shared" si="430"/>
        <v>Фізична особа</v>
      </c>
      <c r="H2972" s="1" t="s">
        <v>20</v>
      </c>
      <c r="I2972" s="1" t="s">
        <v>20</v>
      </c>
      <c r="J2972" s="1" t="str">
        <f t="shared" si="432"/>
        <v>Закрито</v>
      </c>
      <c r="K2972" s="5">
        <v>45623</v>
      </c>
      <c r="L2972" s="1" t="s">
        <v>20</v>
      </c>
      <c r="M2972" s="1" t="s">
        <v>22</v>
      </c>
      <c r="N2972" s="5">
        <v>45623</v>
      </c>
    </row>
    <row r="2973" spans="1:14" x14ac:dyDescent="0.3">
      <c r="A2973" s="1" t="str">
        <f>"31_514-11/2024/Л"</f>
        <v>31_514-11/2024/Л</v>
      </c>
      <c r="B2973" s="6">
        <v>45623</v>
      </c>
      <c r="C2973" s="1" t="str">
        <f>"33"</f>
        <v>33</v>
      </c>
      <c r="D2973" s="2" t="str">
        <f>"33 Довідки різного характеру"</f>
        <v>33 Довідки різного характеру</v>
      </c>
      <c r="E2973" s="1" t="s">
        <v>20</v>
      </c>
      <c r="F297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73" s="1" t="str">
        <f t="shared" si="430"/>
        <v>Фізична особа</v>
      </c>
      <c r="H2973" s="1" t="s">
        <v>20</v>
      </c>
      <c r="I2973" s="1" t="s">
        <v>20</v>
      </c>
      <c r="J2973" s="1" t="str">
        <f t="shared" si="432"/>
        <v>Закрито</v>
      </c>
      <c r="K2973" s="5">
        <v>45623</v>
      </c>
      <c r="L2973" s="1" t="s">
        <v>20</v>
      </c>
      <c r="M2973" s="1" t="s">
        <v>22</v>
      </c>
      <c r="N2973" s="5">
        <v>45623</v>
      </c>
    </row>
    <row r="2974" spans="1:14" x14ac:dyDescent="0.3">
      <c r="A2974" s="1" t="str">
        <f>"34_402-11/2024/Д"</f>
        <v>34_402-11/2024/Д</v>
      </c>
      <c r="B2974" s="6">
        <v>45623</v>
      </c>
      <c r="C2974" s="1" t="str">
        <f>"00038"</f>
        <v>00038</v>
      </c>
      <c r="D297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74" s="1" t="s">
        <v>20</v>
      </c>
      <c r="F297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74" s="1" t="str">
        <f t="shared" si="430"/>
        <v>Фізична особа</v>
      </c>
      <c r="H2974" s="1" t="s">
        <v>20</v>
      </c>
      <c r="I2974" s="1" t="s">
        <v>20</v>
      </c>
      <c r="J2974" s="1" t="str">
        <f t="shared" si="432"/>
        <v>Закрито</v>
      </c>
      <c r="K2974" s="5">
        <v>45623</v>
      </c>
      <c r="L2974" s="1" t="s">
        <v>20</v>
      </c>
      <c r="M2974" s="1" t="s">
        <v>22</v>
      </c>
      <c r="N2974" s="5">
        <v>45623</v>
      </c>
    </row>
    <row r="2975" spans="1:14" x14ac:dyDescent="0.3">
      <c r="A2975" s="1" t="str">
        <f>"31_515-11/2024/В"</f>
        <v>31_515-11/2024/В</v>
      </c>
      <c r="B2975" s="6">
        <v>45623</v>
      </c>
      <c r="C2975" s="1" t="str">
        <f>"01298"</f>
        <v>01298</v>
      </c>
      <c r="D2975" s="2" t="str">
        <f>"Видача довідки про реєстрацію місця проживання померлого,  у тому числі про поживаючих разом з померлим за однією адресою"</f>
        <v>Видача довідки про реєстрацію місця проживання померлого,  у тому числі про поживаючих разом з померлим за однією адресою</v>
      </c>
      <c r="E2975" s="1" t="s">
        <v>20</v>
      </c>
      <c r="F29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75" s="1" t="str">
        <f t="shared" si="430"/>
        <v>Фізична особа</v>
      </c>
      <c r="H2975" s="1" t="s">
        <v>20</v>
      </c>
      <c r="I2975" s="1" t="s">
        <v>20</v>
      </c>
      <c r="J2975" s="1" t="str">
        <f t="shared" si="432"/>
        <v>Закрито</v>
      </c>
      <c r="K2975" s="5">
        <v>45623</v>
      </c>
      <c r="L2975" s="1" t="s">
        <v>20</v>
      </c>
      <c r="M2975" s="1" t="s">
        <v>22</v>
      </c>
      <c r="N2975" s="5">
        <v>45623</v>
      </c>
    </row>
    <row r="2976" spans="1:14" x14ac:dyDescent="0.3">
      <c r="A2976" s="1" t="str">
        <f>"25_449-11/2024/В"</f>
        <v>25_449-11/2024/В</v>
      </c>
      <c r="B2976" s="6">
        <v>45623</v>
      </c>
      <c r="C2976" s="1" t="str">
        <f>"00155"</f>
        <v>00155</v>
      </c>
      <c r="D2976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76" s="1" t="str">
        <f>"03193413"</f>
        <v>03193413</v>
      </c>
      <c r="F297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76" s="1" t="str">
        <f t="shared" si="430"/>
        <v>Фізична особа</v>
      </c>
      <c r="H2976" s="1" t="s">
        <v>20</v>
      </c>
      <c r="I2976" s="1" t="s">
        <v>20</v>
      </c>
      <c r="J2976" s="1" t="str">
        <f t="shared" si="432"/>
        <v>Закрито</v>
      </c>
      <c r="K2976" s="5">
        <v>45644</v>
      </c>
      <c r="L2976" s="1" t="s">
        <v>20</v>
      </c>
      <c r="M2976" s="1" t="s">
        <v>22</v>
      </c>
      <c r="N2976" s="5">
        <v>45643</v>
      </c>
    </row>
    <row r="2977" spans="1:14" x14ac:dyDescent="0.3">
      <c r="A2977" s="1" t="str">
        <f>"2_2156/2129-11/2024/Р"</f>
        <v>2_2156/2129-11/2024/Р</v>
      </c>
      <c r="B2977" s="6">
        <v>45624</v>
      </c>
      <c r="C2977" s="1" t="str">
        <f>"00041"</f>
        <v>00041</v>
      </c>
      <c r="D2977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977" s="1" t="s">
        <v>20</v>
      </c>
      <c r="F2977" s="1" t="str">
        <f t="shared" ref="F2977:F2982" si="433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77" s="1" t="str">
        <f>"Юридична особа"</f>
        <v>Юридична особа</v>
      </c>
      <c r="H2977" s="1" t="str">
        <f>"РОГАТИНСЬКА МІСЬКА РАДА"</f>
        <v>РОГАТИНСЬКА МІСЬКА РАДА</v>
      </c>
      <c r="I2977" s="1" t="str">
        <f>"04054323"</f>
        <v>04054323</v>
      </c>
      <c r="J2977" s="1" t="str">
        <f t="shared" si="432"/>
        <v>Закрито</v>
      </c>
      <c r="K2977" s="5">
        <v>45624</v>
      </c>
      <c r="L2977" s="1" t="s">
        <v>20</v>
      </c>
      <c r="M2977" s="1" t="s">
        <v>22</v>
      </c>
      <c r="N2977" s="5">
        <v>45624</v>
      </c>
    </row>
    <row r="2978" spans="1:14" x14ac:dyDescent="0.3">
      <c r="A2978" s="1" t="str">
        <f>"2_2157/2129-11/2024/Р"</f>
        <v>2_2157/2129-11/2024/Р</v>
      </c>
      <c r="B2978" s="6">
        <v>45624</v>
      </c>
      <c r="C2978" s="1" t="str">
        <f>"00041"</f>
        <v>00041</v>
      </c>
      <c r="D2978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978" s="1" t="s">
        <v>20</v>
      </c>
      <c r="F2978" s="1" t="str">
        <f t="shared" si="433"/>
        <v>Центр надання адміністративних послуг Рогатинської міської ради</v>
      </c>
      <c r="G2978" s="1" t="str">
        <f>"Юридична особа"</f>
        <v>Юридична особа</v>
      </c>
      <c r="H2978" s="1" t="str">
        <f>"РОГАТИНСЬКА МІСЬКА РАДА"</f>
        <v>РОГАТИНСЬКА МІСЬКА РАДА</v>
      </c>
      <c r="I2978" s="1" t="str">
        <f>"04054323"</f>
        <v>04054323</v>
      </c>
      <c r="J2978" s="1" t="str">
        <f t="shared" si="432"/>
        <v>Закрито</v>
      </c>
      <c r="K2978" s="5">
        <v>45624</v>
      </c>
      <c r="L2978" s="1" t="s">
        <v>20</v>
      </c>
      <c r="M2978" s="1" t="s">
        <v>22</v>
      </c>
      <c r="N2978" s="5">
        <v>45624</v>
      </c>
    </row>
    <row r="2979" spans="1:14" x14ac:dyDescent="0.3">
      <c r="A2979" s="1" t="str">
        <f>"2_2158/2129-11/2024/Р"</f>
        <v>2_2158/2129-11/2024/Р</v>
      </c>
      <c r="B2979" s="6">
        <v>45624</v>
      </c>
      <c r="C2979" s="1" t="str">
        <f>"00041"</f>
        <v>00041</v>
      </c>
      <c r="D297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979" s="1" t="s">
        <v>20</v>
      </c>
      <c r="F2979" s="1" t="str">
        <f t="shared" si="433"/>
        <v>Центр надання адміністративних послуг Рогатинської міської ради</v>
      </c>
      <c r="G2979" s="1" t="str">
        <f>"Юридична особа"</f>
        <v>Юридична особа</v>
      </c>
      <c r="H2979" s="1" t="str">
        <f>"РОГАТИНСЬКА МІСЬКА РАДА"</f>
        <v>РОГАТИНСЬКА МІСЬКА РАДА</v>
      </c>
      <c r="I2979" s="1" t="str">
        <f>"04054323"</f>
        <v>04054323</v>
      </c>
      <c r="J2979" s="1" t="str">
        <f t="shared" si="432"/>
        <v>Закрито</v>
      </c>
      <c r="K2979" s="5">
        <v>45624</v>
      </c>
      <c r="L2979" s="1" t="s">
        <v>20</v>
      </c>
      <c r="M2979" s="1" t="s">
        <v>22</v>
      </c>
      <c r="N2979" s="5">
        <v>45624</v>
      </c>
    </row>
    <row r="2980" spans="1:14" x14ac:dyDescent="0.3">
      <c r="A2980" s="1" t="str">
        <f>"2_2159/2129-11/2024/Р"</f>
        <v>2_2159/2129-11/2024/Р</v>
      </c>
      <c r="B2980" s="6">
        <v>45624</v>
      </c>
      <c r="C2980" s="1" t="str">
        <f>"00041"</f>
        <v>00041</v>
      </c>
      <c r="D298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2980" s="1" t="s">
        <v>20</v>
      </c>
      <c r="F2980" s="1" t="str">
        <f t="shared" si="433"/>
        <v>Центр надання адміністративних послуг Рогатинської міської ради</v>
      </c>
      <c r="G2980" s="1" t="str">
        <f>"Юридична особа"</f>
        <v>Юридична особа</v>
      </c>
      <c r="H2980" s="1" t="str">
        <f>"РОГАТИНСЬКА МІСЬКА РАДА"</f>
        <v>РОГАТИНСЬКА МІСЬКА РАДА</v>
      </c>
      <c r="I2980" s="1" t="str">
        <f>"04054323"</f>
        <v>04054323</v>
      </c>
      <c r="J2980" s="1" t="str">
        <f t="shared" si="432"/>
        <v>Закрито</v>
      </c>
      <c r="K2980" s="5">
        <v>45624</v>
      </c>
      <c r="L2980" s="1" t="s">
        <v>20</v>
      </c>
      <c r="M2980" s="1" t="s">
        <v>22</v>
      </c>
      <c r="N2980" s="5">
        <v>45624</v>
      </c>
    </row>
    <row r="2981" spans="1:14" x14ac:dyDescent="0.3">
      <c r="A2981" s="1" t="str">
        <f>"1_6088/2129-11/2024/Ч"</f>
        <v>1_6088/2129-11/2024/Ч</v>
      </c>
      <c r="B2981" s="6">
        <v>45624</v>
      </c>
      <c r="C2981" s="1" t="str">
        <f>"00034"</f>
        <v>00034</v>
      </c>
      <c r="D2981" s="2" t="str">
        <f>"Реєстрація місця проживання"</f>
        <v>Реєстрація місця проживання</v>
      </c>
      <c r="E2981" s="1" t="s">
        <v>20</v>
      </c>
      <c r="F2981" s="1" t="str">
        <f t="shared" si="433"/>
        <v>Центр надання адміністративних послуг Рогатинської міської ради</v>
      </c>
      <c r="G2981" s="1" t="str">
        <f t="shared" ref="G2981:G3011" si="434">"Фізична особа"</f>
        <v>Фізична особа</v>
      </c>
      <c r="H2981" s="1" t="s">
        <v>20</v>
      </c>
      <c r="I2981" s="1" t="s">
        <v>20</v>
      </c>
      <c r="J2981" s="1" t="str">
        <f t="shared" si="432"/>
        <v>Закрито</v>
      </c>
      <c r="K2981" s="5">
        <v>45630</v>
      </c>
      <c r="L2981" s="1" t="str">
        <f>"45.42"</f>
        <v>45.42</v>
      </c>
      <c r="M2981" s="1" t="s">
        <v>22</v>
      </c>
      <c r="N2981" s="5">
        <v>45630</v>
      </c>
    </row>
    <row r="2982" spans="1:14" x14ac:dyDescent="0.3">
      <c r="A2982" s="1" t="str">
        <f>"32_116-11/2024/М"</f>
        <v>32_116-11/2024/М</v>
      </c>
      <c r="B2982" s="6">
        <v>45624</v>
      </c>
      <c r="C2982" s="1" t="str">
        <f>"00037"</f>
        <v>00037</v>
      </c>
      <c r="D2982" s="2" t="str">
        <f>"Зняття з реєстрації місця проживання"</f>
        <v>Зняття з реєстрації місця проживання</v>
      </c>
      <c r="E2982" s="1" t="s">
        <v>20</v>
      </c>
      <c r="F2982" s="1" t="str">
        <f t="shared" si="433"/>
        <v>Центр надання адміністративних послуг Рогатинської міської ради</v>
      </c>
      <c r="G2982" s="1" t="str">
        <f t="shared" si="434"/>
        <v>Фізична особа</v>
      </c>
      <c r="H2982" s="1" t="s">
        <v>20</v>
      </c>
      <c r="I2982" s="1" t="s">
        <v>20</v>
      </c>
      <c r="J2982" s="1" t="str">
        <f t="shared" si="432"/>
        <v>Закрито</v>
      </c>
      <c r="K2982" s="5">
        <v>45624</v>
      </c>
      <c r="L2982" s="1" t="str">
        <f>"45.42"</f>
        <v>45.42</v>
      </c>
      <c r="M2982" s="1" t="s">
        <v>22</v>
      </c>
      <c r="N2982" s="5">
        <v>45624</v>
      </c>
    </row>
    <row r="2983" spans="1:14" x14ac:dyDescent="0.3">
      <c r="A2983" s="1" t="str">
        <f>"9_1734/04054323-11/2024/П"</f>
        <v>9_1734/04054323-11/2024/П</v>
      </c>
      <c r="B2983" s="6">
        <v>45624</v>
      </c>
      <c r="C2983" s="1" t="str">
        <f>"01-1"</f>
        <v>01-1</v>
      </c>
      <c r="D2983" s="2" t="s">
        <v>0</v>
      </c>
      <c r="E2983" s="1" t="str">
        <f>"04054323"</f>
        <v>04054323</v>
      </c>
      <c r="F2983" s="1" t="str">
        <f>"Рогатинська міська рада"</f>
        <v>Рогатинська міська рада</v>
      </c>
      <c r="G2983" s="1" t="str">
        <f t="shared" si="434"/>
        <v>Фізична особа</v>
      </c>
      <c r="H2983" s="1" t="s">
        <v>20</v>
      </c>
      <c r="I2983" s="1" t="s">
        <v>20</v>
      </c>
      <c r="J2983" s="1" t="str">
        <f>"На обробці в СНАП"</f>
        <v>На обробці в СНАП</v>
      </c>
      <c r="K2983" s="1" t="s">
        <v>20</v>
      </c>
      <c r="L2983" s="1" t="s">
        <v>20</v>
      </c>
      <c r="M2983" s="1" t="s">
        <v>22</v>
      </c>
      <c r="N2983" s="1" t="s">
        <v>20</v>
      </c>
    </row>
    <row r="2984" spans="1:14" x14ac:dyDescent="0.3">
      <c r="A2984" s="1" t="str">
        <f>"9_1735/04054323-11/2024/М"</f>
        <v>9_1735/04054323-11/2024/М</v>
      </c>
      <c r="B2984" s="6">
        <v>45624</v>
      </c>
      <c r="C2984" s="1" t="str">
        <f>"00182"</f>
        <v>00182</v>
      </c>
      <c r="D2984" s="2" t="str">
        <f>"Затвердження проекту землеустрою щодо відведення земельної ділянки"</f>
        <v>Затвердження проекту землеустрою щодо відведення земельної ділянки</v>
      </c>
      <c r="E2984" s="1" t="str">
        <f>"04054323"</f>
        <v>04054323</v>
      </c>
      <c r="F2984" s="1" t="str">
        <f>"Рогатинська міська рада"</f>
        <v>Рогатинська міська рада</v>
      </c>
      <c r="G2984" s="1" t="str">
        <f t="shared" si="434"/>
        <v>Фізична особа</v>
      </c>
      <c r="H2984" s="1" t="s">
        <v>20</v>
      </c>
      <c r="I2984" s="1" t="s">
        <v>20</v>
      </c>
      <c r="J2984" s="1" t="str">
        <f>"На обробці в СНАП"</f>
        <v>На обробці в СНАП</v>
      </c>
      <c r="K2984" s="1" t="s">
        <v>20</v>
      </c>
      <c r="L2984" s="1" t="s">
        <v>20</v>
      </c>
      <c r="M2984" s="1" t="s">
        <v>22</v>
      </c>
      <c r="N2984" s="1" t="s">
        <v>20</v>
      </c>
    </row>
    <row r="2985" spans="1:14" x14ac:dyDescent="0.3">
      <c r="A2985" s="1" t="str">
        <f>"9_1736/04054323-11/2024/Ш"</f>
        <v>9_1736/04054323-11/2024/Ш</v>
      </c>
      <c r="B2985" s="6">
        <v>45624</v>
      </c>
      <c r="C2985" s="1" t="str">
        <f>"01-2"</f>
        <v>01-2</v>
      </c>
      <c r="D2985" s="2" t="str">
        <f>"01-2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виробництва"</f>
        <v>01-2 Видача рішення про затвердження технічної документації із землеустрою щодо встановлення (відновлення) меж земельної ділянки в натурі ( на місцевості) для ведення товарного сільськогосподарського виробництва</v>
      </c>
      <c r="E2985" s="1" t="str">
        <f>"04054323"</f>
        <v>04054323</v>
      </c>
      <c r="F2985" s="1" t="str">
        <f>"Рогатинська міська рада"</f>
        <v>Рогатинська міська рада</v>
      </c>
      <c r="G2985" s="1" t="str">
        <f t="shared" si="434"/>
        <v>Фізична особа</v>
      </c>
      <c r="H2985" s="1" t="s">
        <v>20</v>
      </c>
      <c r="I2985" s="1" t="s">
        <v>20</v>
      </c>
      <c r="J2985" s="1" t="str">
        <f>"На обробці в СНАП"</f>
        <v>На обробці в СНАП</v>
      </c>
      <c r="K2985" s="1" t="s">
        <v>20</v>
      </c>
      <c r="L2985" s="1" t="s">
        <v>20</v>
      </c>
      <c r="M2985" s="1" t="s">
        <v>22</v>
      </c>
      <c r="N2985" s="1" t="s">
        <v>20</v>
      </c>
    </row>
    <row r="2986" spans="1:14" x14ac:dyDescent="0.3">
      <c r="A2986" s="1" t="str">
        <f>"9_1737/04054323-11/2024/С"</f>
        <v>9_1737/04054323-11/2024/С</v>
      </c>
      <c r="B2986" s="6">
        <v>45624</v>
      </c>
      <c r="C2986" s="1" t="str">
        <f>"01"</f>
        <v>01</v>
      </c>
      <c r="D2986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2986" s="1" t="str">
        <f>"04054323"</f>
        <v>04054323</v>
      </c>
      <c r="F2986" s="1" t="str">
        <f>"Рогатинська міська рада"</f>
        <v>Рогатинська міська рада</v>
      </c>
      <c r="G2986" s="1" t="str">
        <f t="shared" si="434"/>
        <v>Фізична особа</v>
      </c>
      <c r="H2986" s="1" t="s">
        <v>20</v>
      </c>
      <c r="I2986" s="1" t="s">
        <v>20</v>
      </c>
      <c r="J2986" s="1" t="str">
        <f>"На обробці в СНАП"</f>
        <v>На обробці в СНАП</v>
      </c>
      <c r="K2986" s="1" t="s">
        <v>20</v>
      </c>
      <c r="L2986" s="1" t="s">
        <v>20</v>
      </c>
      <c r="M2986" s="1" t="s">
        <v>22</v>
      </c>
      <c r="N2986" s="1" t="s">
        <v>20</v>
      </c>
    </row>
    <row r="2987" spans="1:14" x14ac:dyDescent="0.3">
      <c r="A2987" s="1" t="str">
        <f>"3_887-11/2024/І"</f>
        <v>3_887-11/2024/І</v>
      </c>
      <c r="B2987" s="6">
        <v>45624</v>
      </c>
      <c r="C2987" s="1" t="str">
        <f>"00038"</f>
        <v>00038</v>
      </c>
      <c r="D298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87" s="1" t="s">
        <v>20</v>
      </c>
      <c r="F298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87" s="1" t="str">
        <f t="shared" si="434"/>
        <v>Фізична особа</v>
      </c>
      <c r="H2987" s="1" t="s">
        <v>20</v>
      </c>
      <c r="I2987" s="1" t="s">
        <v>20</v>
      </c>
      <c r="J2987" s="1" t="str">
        <f t="shared" ref="J2987:J2992" si="435">"Закрито"</f>
        <v>Закрито</v>
      </c>
      <c r="K2987" s="5">
        <v>45624</v>
      </c>
      <c r="L2987" s="1" t="s">
        <v>20</v>
      </c>
      <c r="M2987" s="1" t="s">
        <v>22</v>
      </c>
      <c r="N2987" s="5">
        <v>45624</v>
      </c>
    </row>
    <row r="2988" spans="1:14" x14ac:dyDescent="0.3">
      <c r="A2988" s="1" t="str">
        <f>"35_524-11/2024/К"</f>
        <v>35_524-11/2024/К</v>
      </c>
      <c r="B2988" s="6">
        <v>45624</v>
      </c>
      <c r="C2988" s="1" t="str">
        <f>"33"</f>
        <v>33</v>
      </c>
      <c r="D2988" s="2" t="str">
        <f>"33 Довідки різного характеру"</f>
        <v>33 Довідки різного характеру</v>
      </c>
      <c r="E2988" s="1" t="s">
        <v>20</v>
      </c>
      <c r="F29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88" s="1" t="str">
        <f t="shared" si="434"/>
        <v>Фізична особа</v>
      </c>
      <c r="H2988" s="1" t="s">
        <v>20</v>
      </c>
      <c r="I2988" s="1" t="s">
        <v>20</v>
      </c>
      <c r="J2988" s="1" t="str">
        <f t="shared" si="435"/>
        <v>Закрито</v>
      </c>
      <c r="K2988" s="5">
        <v>45624</v>
      </c>
      <c r="L2988" s="1" t="s">
        <v>20</v>
      </c>
      <c r="M2988" s="1" t="s">
        <v>22</v>
      </c>
      <c r="N2988" s="5">
        <v>45624</v>
      </c>
    </row>
    <row r="2989" spans="1:14" x14ac:dyDescent="0.3">
      <c r="A2989" s="1" t="str">
        <f>"3_888-11/2024/І"</f>
        <v>3_888-11/2024/І</v>
      </c>
      <c r="B2989" s="6">
        <v>45624</v>
      </c>
      <c r="C2989" s="1" t="str">
        <f>"01974"</f>
        <v>01974</v>
      </c>
      <c r="D2989" s="2" t="str">
        <f>"Призначення пільги на оплату житла, комунальних послуг"</f>
        <v>Призначення пільги на оплату житла, комунальних послуг</v>
      </c>
      <c r="E2989" s="1" t="str">
        <f>"03193413"</f>
        <v>03193413</v>
      </c>
      <c r="F298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89" s="1" t="str">
        <f t="shared" si="434"/>
        <v>Фізична особа</v>
      </c>
      <c r="H2989" s="1" t="s">
        <v>20</v>
      </c>
      <c r="I2989" s="1" t="s">
        <v>20</v>
      </c>
      <c r="J2989" s="1" t="str">
        <f t="shared" si="435"/>
        <v>Закрито</v>
      </c>
      <c r="K2989" s="5">
        <v>45608</v>
      </c>
      <c r="L2989" s="1" t="s">
        <v>20</v>
      </c>
      <c r="M2989" s="1" t="s">
        <v>22</v>
      </c>
      <c r="N2989" s="5">
        <v>45608</v>
      </c>
    </row>
    <row r="2990" spans="1:14" x14ac:dyDescent="0.3">
      <c r="A2990" s="1" t="str">
        <f>"1_6089/2129-11/2024/К"</f>
        <v>1_6089/2129-11/2024/К</v>
      </c>
      <c r="B2990" s="6">
        <v>45624</v>
      </c>
      <c r="C2990" s="1" t="str">
        <f>"01296"</f>
        <v>01296</v>
      </c>
      <c r="D2990" s="2" t="str">
        <f>"Видача довідки про проживання без реєстрації"</f>
        <v>Видача довідки про проживання без реєстрації</v>
      </c>
      <c r="E2990" s="1" t="s">
        <v>20</v>
      </c>
      <c r="F299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90" s="1" t="str">
        <f t="shared" si="434"/>
        <v>Фізична особа</v>
      </c>
      <c r="H2990" s="1" t="s">
        <v>20</v>
      </c>
      <c r="I2990" s="1" t="s">
        <v>20</v>
      </c>
      <c r="J2990" s="1" t="str">
        <f t="shared" si="435"/>
        <v>Закрито</v>
      </c>
      <c r="K2990" s="5">
        <v>45624</v>
      </c>
      <c r="L2990" s="1" t="s">
        <v>20</v>
      </c>
      <c r="M2990" s="1" t="s">
        <v>22</v>
      </c>
      <c r="N2990" s="5">
        <v>45624</v>
      </c>
    </row>
    <row r="2991" spans="1:14" x14ac:dyDescent="0.3">
      <c r="A2991" s="1" t="str">
        <f>"4_1315/03193413-11/2024/П"</f>
        <v>4_1315/03193413-11/2024/П</v>
      </c>
      <c r="B2991" s="6">
        <v>45624</v>
      </c>
      <c r="C2991" s="1" t="str">
        <f>"00155"</f>
        <v>00155</v>
      </c>
      <c r="D2991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91" s="1" t="str">
        <f>"03193413"</f>
        <v>03193413</v>
      </c>
      <c r="F299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91" s="1" t="str">
        <f t="shared" si="434"/>
        <v>Фізична особа</v>
      </c>
      <c r="H2991" s="1" t="s">
        <v>20</v>
      </c>
      <c r="I2991" s="1" t="s">
        <v>20</v>
      </c>
      <c r="J2991" s="1" t="str">
        <f t="shared" si="435"/>
        <v>Закрито</v>
      </c>
      <c r="K2991" s="5">
        <v>45636</v>
      </c>
      <c r="L2991" s="1" t="s">
        <v>20</v>
      </c>
      <c r="M2991" s="1" t="s">
        <v>22</v>
      </c>
      <c r="N2991" s="5">
        <v>45636</v>
      </c>
    </row>
    <row r="2992" spans="1:14" x14ac:dyDescent="0.3">
      <c r="A2992" s="1" t="str">
        <f>"4_1316/03193413-11/2024/М"</f>
        <v>4_1316/03193413-11/2024/М</v>
      </c>
      <c r="B2992" s="6">
        <v>45624</v>
      </c>
      <c r="C2992" s="1" t="str">
        <f>"00155"</f>
        <v>00155</v>
      </c>
      <c r="D2992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2992" s="1" t="str">
        <f>"03193413"</f>
        <v>03193413</v>
      </c>
      <c r="F299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92" s="1" t="str">
        <f t="shared" si="434"/>
        <v>Фізична особа</v>
      </c>
      <c r="H2992" s="1" t="s">
        <v>20</v>
      </c>
      <c r="I2992" s="1" t="s">
        <v>20</v>
      </c>
      <c r="J2992" s="1" t="str">
        <f t="shared" si="435"/>
        <v>Закрито</v>
      </c>
      <c r="K2992" s="5">
        <v>45636</v>
      </c>
      <c r="L2992" s="1" t="s">
        <v>20</v>
      </c>
      <c r="M2992" s="1" t="s">
        <v>22</v>
      </c>
      <c r="N2992" s="5">
        <v>45636</v>
      </c>
    </row>
    <row r="2993" spans="1:14" x14ac:dyDescent="0.3">
      <c r="A2993" s="1" t="str">
        <f>"3_1446/4-11/2024/Г"</f>
        <v>3_1446/4-11/2024/Г</v>
      </c>
      <c r="B2993" s="6">
        <v>45624</v>
      </c>
      <c r="C2993" s="1" t="str">
        <f>"00060"</f>
        <v>00060</v>
      </c>
      <c r="D2993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993" s="1" t="s">
        <v>20</v>
      </c>
      <c r="F2993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2993" s="1" t="str">
        <f t="shared" si="434"/>
        <v>Фізична особа</v>
      </c>
      <c r="H2993" s="1" t="s">
        <v>20</v>
      </c>
      <c r="I2993" s="1" t="s">
        <v>20</v>
      </c>
      <c r="J2993" s="1" t="str">
        <f>"Результат підготовлено СНАП"</f>
        <v>Результат підготовлено СНАП</v>
      </c>
      <c r="K2993" s="5">
        <v>45632</v>
      </c>
      <c r="L2993" s="1" t="str">
        <f>"151.4"</f>
        <v>151.4</v>
      </c>
      <c r="M2993" s="1" t="s">
        <v>22</v>
      </c>
      <c r="N2993" s="1" t="s">
        <v>20</v>
      </c>
    </row>
    <row r="2994" spans="1:14" x14ac:dyDescent="0.3">
      <c r="A2994" s="1" t="str">
        <f>"4_1317/03193413-11/2024/Я"</f>
        <v>4_1317/03193413-11/2024/Я</v>
      </c>
      <c r="B2994" s="6">
        <v>45624</v>
      </c>
      <c r="C2994" s="1" t="str">
        <f>"01974"</f>
        <v>01974</v>
      </c>
      <c r="D2994" s="2" t="str">
        <f>"Призначення пільги на оплату житла, комунальних послуг"</f>
        <v>Призначення пільги на оплату житла, комунальних послуг</v>
      </c>
      <c r="E2994" s="1" t="str">
        <f>"03193413"</f>
        <v>03193413</v>
      </c>
      <c r="F299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94" s="1" t="str">
        <f t="shared" si="434"/>
        <v>Фізична особа</v>
      </c>
      <c r="H2994" s="1" t="s">
        <v>20</v>
      </c>
      <c r="I2994" s="1" t="s">
        <v>20</v>
      </c>
      <c r="J2994" s="1" t="str">
        <f>"Закрито"</f>
        <v>Закрито</v>
      </c>
      <c r="K2994" s="1" t="s">
        <v>20</v>
      </c>
      <c r="L2994" s="1" t="s">
        <v>20</v>
      </c>
      <c r="M2994" s="1" t="s">
        <v>22</v>
      </c>
      <c r="N2994" s="1" t="s">
        <v>20</v>
      </c>
    </row>
    <row r="2995" spans="1:14" x14ac:dyDescent="0.3">
      <c r="A2995" s="1" t="str">
        <f>"4_1318/03193413-11/2024/М"</f>
        <v>4_1318/03193413-11/2024/М</v>
      </c>
      <c r="B2995" s="6">
        <v>45624</v>
      </c>
      <c r="C2995" s="1" t="str">
        <f>"01974"</f>
        <v>01974</v>
      </c>
      <c r="D2995" s="2" t="str">
        <f>"Призначення пільги на оплату житла, комунальних послуг"</f>
        <v>Призначення пільги на оплату житла, комунальних послуг</v>
      </c>
      <c r="E2995" s="1" t="str">
        <f>"03193413"</f>
        <v>03193413</v>
      </c>
      <c r="F299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2995" s="1" t="str">
        <f t="shared" si="434"/>
        <v>Фізична особа</v>
      </c>
      <c r="H2995" s="1" t="s">
        <v>20</v>
      </c>
      <c r="I2995" s="1" t="s">
        <v>20</v>
      </c>
      <c r="J2995" s="1" t="str">
        <f>"На обробці в СНАП"</f>
        <v>На обробці в СНАП</v>
      </c>
      <c r="K2995" s="1" t="s">
        <v>20</v>
      </c>
      <c r="L2995" s="1" t="s">
        <v>20</v>
      </c>
      <c r="M2995" s="1" t="s">
        <v>22</v>
      </c>
      <c r="N2995" s="1" t="s">
        <v>20</v>
      </c>
    </row>
    <row r="2996" spans="1:14" x14ac:dyDescent="0.3">
      <c r="A2996" s="1" t="str">
        <f>"14_1042-11/2024/Д"</f>
        <v>14_1042-11/2024/Д</v>
      </c>
      <c r="B2996" s="6">
        <v>45624</v>
      </c>
      <c r="C2996" s="1" t="str">
        <f>"33"</f>
        <v>33</v>
      </c>
      <c r="D2996" s="2" t="str">
        <f>"33 Довідки різного характеру"</f>
        <v>33 Довідки різного характеру</v>
      </c>
      <c r="E2996" s="1" t="s">
        <v>20</v>
      </c>
      <c r="F2996" s="1" t="str">
        <f t="shared" ref="F2996:F3036" si="436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2996" s="1" t="str">
        <f t="shared" si="434"/>
        <v>Фізична особа</v>
      </c>
      <c r="H2996" s="1" t="s">
        <v>20</v>
      </c>
      <c r="I2996" s="1" t="s">
        <v>20</v>
      </c>
      <c r="J2996" s="1" t="str">
        <f t="shared" ref="J2996:J3036" si="437">"Закрито"</f>
        <v>Закрито</v>
      </c>
      <c r="K2996" s="5">
        <v>45624</v>
      </c>
      <c r="L2996" s="1" t="s">
        <v>20</v>
      </c>
      <c r="M2996" s="1" t="s">
        <v>22</v>
      </c>
      <c r="N2996" s="5">
        <v>45624</v>
      </c>
    </row>
    <row r="2997" spans="1:14" x14ac:dyDescent="0.3">
      <c r="A2997" s="1" t="str">
        <f>"6_383-11/2024/К"</f>
        <v>6_383-11/2024/К</v>
      </c>
      <c r="B2997" s="6">
        <v>45624</v>
      </c>
      <c r="C2997" s="1" t="str">
        <f>"00038"</f>
        <v>00038</v>
      </c>
      <c r="D299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2997" s="1" t="s">
        <v>20</v>
      </c>
      <c r="F2997" s="1" t="str">
        <f t="shared" si="436"/>
        <v>Центр надання адміністративних послуг Рогатинської міської ради</v>
      </c>
      <c r="G2997" s="1" t="str">
        <f t="shared" si="434"/>
        <v>Фізична особа</v>
      </c>
      <c r="H2997" s="1" t="s">
        <v>20</v>
      </c>
      <c r="I2997" s="1" t="s">
        <v>20</v>
      </c>
      <c r="J2997" s="1" t="str">
        <f t="shared" si="437"/>
        <v>Закрито</v>
      </c>
      <c r="K2997" s="5">
        <v>45624</v>
      </c>
      <c r="L2997" s="1" t="s">
        <v>20</v>
      </c>
      <c r="M2997" s="1" t="s">
        <v>22</v>
      </c>
      <c r="N2997" s="5">
        <v>45624</v>
      </c>
    </row>
    <row r="2998" spans="1:14" x14ac:dyDescent="0.3">
      <c r="A2998" s="1" t="str">
        <f>"6_384-11/2024/К"</f>
        <v>6_384-11/2024/К</v>
      </c>
      <c r="B2998" s="6">
        <v>45624</v>
      </c>
      <c r="C2998" s="1" t="str">
        <f>"33"</f>
        <v>33</v>
      </c>
      <c r="D2998" s="2" t="str">
        <f>"33 Довідки різного характеру"</f>
        <v>33 Довідки різного характеру</v>
      </c>
      <c r="E2998" s="1" t="s">
        <v>20</v>
      </c>
      <c r="F2998" s="1" t="str">
        <f t="shared" si="436"/>
        <v>Центр надання адміністративних послуг Рогатинської міської ради</v>
      </c>
      <c r="G2998" s="1" t="str">
        <f t="shared" si="434"/>
        <v>Фізична особа</v>
      </c>
      <c r="H2998" s="1" t="s">
        <v>20</v>
      </c>
      <c r="I2998" s="1" t="s">
        <v>20</v>
      </c>
      <c r="J2998" s="1" t="str">
        <f t="shared" si="437"/>
        <v>Закрито</v>
      </c>
      <c r="K2998" s="5">
        <v>45624</v>
      </c>
      <c r="L2998" s="1" t="s">
        <v>20</v>
      </c>
      <c r="M2998" s="1" t="s">
        <v>22</v>
      </c>
      <c r="N2998" s="5">
        <v>45624</v>
      </c>
    </row>
    <row r="2999" spans="1:14" x14ac:dyDescent="0.3">
      <c r="A2999" s="1" t="str">
        <f>"6_385-11/2024/К"</f>
        <v>6_385-11/2024/К</v>
      </c>
      <c r="B2999" s="6">
        <v>45624</v>
      </c>
      <c r="C2999" s="1" t="str">
        <f>"33"</f>
        <v>33</v>
      </c>
      <c r="D2999" s="2" t="str">
        <f>"33 Довідки різного характеру"</f>
        <v>33 Довідки різного характеру</v>
      </c>
      <c r="E2999" s="1" t="s">
        <v>20</v>
      </c>
      <c r="F2999" s="1" t="str">
        <f t="shared" si="436"/>
        <v>Центр надання адміністративних послуг Рогатинської міської ради</v>
      </c>
      <c r="G2999" s="1" t="str">
        <f t="shared" si="434"/>
        <v>Фізична особа</v>
      </c>
      <c r="H2999" s="1" t="s">
        <v>20</v>
      </c>
      <c r="I2999" s="1" t="s">
        <v>20</v>
      </c>
      <c r="J2999" s="1" t="str">
        <f t="shared" si="437"/>
        <v>Закрито</v>
      </c>
      <c r="K2999" s="5">
        <v>45624</v>
      </c>
      <c r="L2999" s="1" t="s">
        <v>20</v>
      </c>
      <c r="M2999" s="1" t="s">
        <v>22</v>
      </c>
      <c r="N2999" s="5">
        <v>45624</v>
      </c>
    </row>
    <row r="3000" spans="1:14" x14ac:dyDescent="0.3">
      <c r="A3000" s="1" t="str">
        <f>"8_560-11/2024/Ц"</f>
        <v>8_560-11/2024/Ц</v>
      </c>
      <c r="B3000" s="6">
        <v>45624</v>
      </c>
      <c r="C3000" s="1" t="str">
        <f>"00038"</f>
        <v>00038</v>
      </c>
      <c r="D300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00" s="1" t="s">
        <v>20</v>
      </c>
      <c r="F3000" s="1" t="str">
        <f t="shared" si="436"/>
        <v>Центр надання адміністративних послуг Рогатинської міської ради</v>
      </c>
      <c r="G3000" s="1" t="str">
        <f t="shared" si="434"/>
        <v>Фізична особа</v>
      </c>
      <c r="H3000" s="1" t="s">
        <v>20</v>
      </c>
      <c r="I3000" s="1" t="s">
        <v>20</v>
      </c>
      <c r="J3000" s="1" t="str">
        <f t="shared" si="437"/>
        <v>Закрито</v>
      </c>
      <c r="K3000" s="5">
        <v>45624</v>
      </c>
      <c r="L3000" s="1" t="s">
        <v>20</v>
      </c>
      <c r="M3000" s="1" t="s">
        <v>22</v>
      </c>
      <c r="N3000" s="5">
        <v>45624</v>
      </c>
    </row>
    <row r="3001" spans="1:14" x14ac:dyDescent="0.3">
      <c r="A3001" s="1" t="str">
        <f>"32_117-11/2024/О"</f>
        <v>32_117-11/2024/О</v>
      </c>
      <c r="B3001" s="6">
        <v>45624</v>
      </c>
      <c r="C3001" s="1" t="str">
        <f>"00034"</f>
        <v>00034</v>
      </c>
      <c r="D3001" s="2" t="str">
        <f>"Реєстрація місця проживання"</f>
        <v>Реєстрація місця проживання</v>
      </c>
      <c r="E3001" s="1" t="s">
        <v>20</v>
      </c>
      <c r="F3001" s="1" t="str">
        <f t="shared" si="436"/>
        <v>Центр надання адміністративних послуг Рогатинської міської ради</v>
      </c>
      <c r="G3001" s="1" t="str">
        <f t="shared" si="434"/>
        <v>Фізична особа</v>
      </c>
      <c r="H3001" s="1" t="s">
        <v>20</v>
      </c>
      <c r="I3001" s="1" t="s">
        <v>20</v>
      </c>
      <c r="J3001" s="1" t="str">
        <f t="shared" si="437"/>
        <v>Закрито</v>
      </c>
      <c r="K3001" s="5">
        <v>45624</v>
      </c>
      <c r="L3001" s="1" t="str">
        <f>"45.42"</f>
        <v>45.42</v>
      </c>
      <c r="M3001" s="1" t="s">
        <v>22</v>
      </c>
      <c r="N3001" s="5">
        <v>45624</v>
      </c>
    </row>
    <row r="3002" spans="1:14" x14ac:dyDescent="0.3">
      <c r="A3002" s="1" t="str">
        <f>"15_354-11/2024/К"</f>
        <v>15_354-11/2024/К</v>
      </c>
      <c r="B3002" s="6">
        <v>45624</v>
      </c>
      <c r="C3002" s="1" t="str">
        <f>"00034"</f>
        <v>00034</v>
      </c>
      <c r="D3002" s="2" t="str">
        <f>"Реєстрація місця проживання"</f>
        <v>Реєстрація місця проживання</v>
      </c>
      <c r="E3002" s="1" t="s">
        <v>20</v>
      </c>
      <c r="F3002" s="1" t="str">
        <f t="shared" si="436"/>
        <v>Центр надання адміністративних послуг Рогатинської міської ради</v>
      </c>
      <c r="G3002" s="1" t="str">
        <f t="shared" si="434"/>
        <v>Фізична особа</v>
      </c>
      <c r="H3002" s="1" t="s">
        <v>20</v>
      </c>
      <c r="I3002" s="1" t="s">
        <v>20</v>
      </c>
      <c r="J3002" s="1" t="str">
        <f t="shared" si="437"/>
        <v>Закрито</v>
      </c>
      <c r="K3002" s="5">
        <v>45624</v>
      </c>
      <c r="L3002" s="1" t="str">
        <f>"45.42"</f>
        <v>45.42</v>
      </c>
      <c r="M3002" s="1" t="s">
        <v>22</v>
      </c>
      <c r="N3002" s="5">
        <v>45624</v>
      </c>
    </row>
    <row r="3003" spans="1:14" x14ac:dyDescent="0.3">
      <c r="A3003" s="1" t="str">
        <f>"15_355-11/2024/К"</f>
        <v>15_355-11/2024/К</v>
      </c>
      <c r="B3003" s="6">
        <v>45624</v>
      </c>
      <c r="C3003" s="1" t="str">
        <f>"00038"</f>
        <v>00038</v>
      </c>
      <c r="D300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03" s="1" t="s">
        <v>20</v>
      </c>
      <c r="F3003" s="1" t="str">
        <f t="shared" si="436"/>
        <v>Центр надання адміністративних послуг Рогатинської міської ради</v>
      </c>
      <c r="G3003" s="1" t="str">
        <f t="shared" si="434"/>
        <v>Фізична особа</v>
      </c>
      <c r="H3003" s="1" t="s">
        <v>20</v>
      </c>
      <c r="I3003" s="1" t="s">
        <v>20</v>
      </c>
      <c r="J3003" s="1" t="str">
        <f t="shared" si="437"/>
        <v>Закрито</v>
      </c>
      <c r="K3003" s="5">
        <v>45624</v>
      </c>
      <c r="L3003" s="1" t="s">
        <v>20</v>
      </c>
      <c r="M3003" s="1" t="s">
        <v>22</v>
      </c>
      <c r="N3003" s="5">
        <v>45624</v>
      </c>
    </row>
    <row r="3004" spans="1:14" x14ac:dyDescent="0.3">
      <c r="A3004" s="1" t="str">
        <f>"15_356-11/2024/К"</f>
        <v>15_356-11/2024/К</v>
      </c>
      <c r="B3004" s="6">
        <v>45624</v>
      </c>
      <c r="C3004" s="1" t="str">
        <f>"00034"</f>
        <v>00034</v>
      </c>
      <c r="D3004" s="2" t="str">
        <f>"Реєстрація місця проживання"</f>
        <v>Реєстрація місця проживання</v>
      </c>
      <c r="E3004" s="1" t="s">
        <v>20</v>
      </c>
      <c r="F3004" s="1" t="str">
        <f t="shared" si="436"/>
        <v>Центр надання адміністративних послуг Рогатинської міської ради</v>
      </c>
      <c r="G3004" s="1" t="str">
        <f t="shared" si="434"/>
        <v>Фізична особа</v>
      </c>
      <c r="H3004" s="1" t="s">
        <v>20</v>
      </c>
      <c r="I3004" s="1" t="s">
        <v>20</v>
      </c>
      <c r="J3004" s="1" t="str">
        <f t="shared" si="437"/>
        <v>Закрито</v>
      </c>
      <c r="K3004" s="5">
        <v>45624</v>
      </c>
      <c r="L3004" s="1" t="str">
        <f>"45.42"</f>
        <v>45.42</v>
      </c>
      <c r="M3004" s="1" t="s">
        <v>22</v>
      </c>
      <c r="N3004" s="5">
        <v>45624</v>
      </c>
    </row>
    <row r="3005" spans="1:14" x14ac:dyDescent="0.3">
      <c r="A3005" s="1" t="str">
        <f>"15_357-11/2024/К"</f>
        <v>15_357-11/2024/К</v>
      </c>
      <c r="B3005" s="6">
        <v>45624</v>
      </c>
      <c r="C3005" s="1" t="str">
        <f>"00038"</f>
        <v>00038</v>
      </c>
      <c r="D300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05" s="1" t="s">
        <v>20</v>
      </c>
      <c r="F3005" s="1" t="str">
        <f t="shared" si="436"/>
        <v>Центр надання адміністративних послуг Рогатинської міської ради</v>
      </c>
      <c r="G3005" s="1" t="str">
        <f t="shared" si="434"/>
        <v>Фізична особа</v>
      </c>
      <c r="H3005" s="1" t="s">
        <v>20</v>
      </c>
      <c r="I3005" s="1" t="s">
        <v>20</v>
      </c>
      <c r="J3005" s="1" t="str">
        <f t="shared" si="437"/>
        <v>Закрито</v>
      </c>
      <c r="K3005" s="5">
        <v>45624</v>
      </c>
      <c r="L3005" s="1" t="s">
        <v>20</v>
      </c>
      <c r="M3005" s="1" t="s">
        <v>22</v>
      </c>
      <c r="N3005" s="5">
        <v>45624</v>
      </c>
    </row>
    <row r="3006" spans="1:14" x14ac:dyDescent="0.3">
      <c r="A3006" s="1" t="str">
        <f>"15_358-11/2024/К"</f>
        <v>15_358-11/2024/К</v>
      </c>
      <c r="B3006" s="6">
        <v>45624</v>
      </c>
      <c r="C3006" s="1" t="str">
        <f>"01217"</f>
        <v>01217</v>
      </c>
      <c r="D3006" s="2" t="str">
        <f>"Реєстрація місця проживання дитини до 14 років"</f>
        <v>Реєстрація місця проживання дитини до 14 років</v>
      </c>
      <c r="E3006" s="1" t="s">
        <v>20</v>
      </c>
      <c r="F3006" s="1" t="str">
        <f t="shared" si="436"/>
        <v>Центр надання адміністративних послуг Рогатинської міської ради</v>
      </c>
      <c r="G3006" s="1" t="str">
        <f t="shared" si="434"/>
        <v>Фізична особа</v>
      </c>
      <c r="H3006" s="1" t="s">
        <v>20</v>
      </c>
      <c r="I3006" s="1" t="s">
        <v>20</v>
      </c>
      <c r="J3006" s="1" t="str">
        <f t="shared" si="437"/>
        <v>Закрито</v>
      </c>
      <c r="K3006" s="5">
        <v>45624</v>
      </c>
      <c r="L3006" s="1" t="str">
        <f>"45.42"</f>
        <v>45.42</v>
      </c>
      <c r="M3006" s="1" t="s">
        <v>22</v>
      </c>
      <c r="N3006" s="5">
        <v>45624</v>
      </c>
    </row>
    <row r="3007" spans="1:14" x14ac:dyDescent="0.3">
      <c r="A3007" s="1" t="str">
        <f>"32_118-11/2024/М"</f>
        <v>32_118-11/2024/М</v>
      </c>
      <c r="B3007" s="6">
        <v>45624</v>
      </c>
      <c r="C3007" s="1" t="str">
        <f>"00038"</f>
        <v>00038</v>
      </c>
      <c r="D300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07" s="1" t="s">
        <v>20</v>
      </c>
      <c r="F3007" s="1" t="str">
        <f t="shared" si="436"/>
        <v>Центр надання адміністративних послуг Рогатинської міської ради</v>
      </c>
      <c r="G3007" s="1" t="str">
        <f t="shared" si="434"/>
        <v>Фізична особа</v>
      </c>
      <c r="H3007" s="1" t="s">
        <v>20</v>
      </c>
      <c r="I3007" s="1" t="s">
        <v>20</v>
      </c>
      <c r="J3007" s="1" t="str">
        <f t="shared" si="437"/>
        <v>Закрито</v>
      </c>
      <c r="K3007" s="5">
        <v>45624</v>
      </c>
      <c r="L3007" s="1" t="s">
        <v>20</v>
      </c>
      <c r="M3007" s="1" t="s">
        <v>22</v>
      </c>
      <c r="N3007" s="5">
        <v>45624</v>
      </c>
    </row>
    <row r="3008" spans="1:14" x14ac:dyDescent="0.3">
      <c r="A3008" s="1" t="str">
        <f>"32_119-11/2024/О"</f>
        <v>32_119-11/2024/О</v>
      </c>
      <c r="B3008" s="6">
        <v>45624</v>
      </c>
      <c r="C3008" s="1" t="str">
        <f>"00038"</f>
        <v>00038</v>
      </c>
      <c r="D300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08" s="1" t="s">
        <v>20</v>
      </c>
      <c r="F3008" s="1" t="str">
        <f t="shared" si="436"/>
        <v>Центр надання адміністративних послуг Рогатинської міської ради</v>
      </c>
      <c r="G3008" s="1" t="str">
        <f t="shared" si="434"/>
        <v>Фізична особа</v>
      </c>
      <c r="H3008" s="1" t="s">
        <v>20</v>
      </c>
      <c r="I3008" s="1" t="s">
        <v>20</v>
      </c>
      <c r="J3008" s="1" t="str">
        <f t="shared" si="437"/>
        <v>Закрито</v>
      </c>
      <c r="K3008" s="5">
        <v>45624</v>
      </c>
      <c r="L3008" s="1" t="s">
        <v>20</v>
      </c>
      <c r="M3008" s="1" t="s">
        <v>22</v>
      </c>
      <c r="N3008" s="5">
        <v>45624</v>
      </c>
    </row>
    <row r="3009" spans="1:14" x14ac:dyDescent="0.3">
      <c r="A3009" s="1" t="str">
        <f>"32_120-11/2024/О"</f>
        <v>32_120-11/2024/О</v>
      </c>
      <c r="B3009" s="6">
        <v>45624</v>
      </c>
      <c r="C3009" s="1" t="str">
        <f>"00038"</f>
        <v>00038</v>
      </c>
      <c r="D300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09" s="1" t="s">
        <v>20</v>
      </c>
      <c r="F3009" s="1" t="str">
        <f t="shared" si="436"/>
        <v>Центр надання адміністративних послуг Рогатинської міської ради</v>
      </c>
      <c r="G3009" s="1" t="str">
        <f t="shared" si="434"/>
        <v>Фізична особа</v>
      </c>
      <c r="H3009" s="1" t="s">
        <v>20</v>
      </c>
      <c r="I3009" s="1" t="s">
        <v>20</v>
      </c>
      <c r="J3009" s="1" t="str">
        <f t="shared" si="437"/>
        <v>Закрито</v>
      </c>
      <c r="K3009" s="5">
        <v>45624</v>
      </c>
      <c r="L3009" s="1" t="s">
        <v>20</v>
      </c>
      <c r="M3009" s="1" t="s">
        <v>22</v>
      </c>
      <c r="N3009" s="5">
        <v>45624</v>
      </c>
    </row>
    <row r="3010" spans="1:14" x14ac:dyDescent="0.3">
      <c r="A3010" s="1" t="str">
        <f>"15_359-11/2024/К"</f>
        <v>15_359-11/2024/К</v>
      </c>
      <c r="B3010" s="6">
        <v>45624</v>
      </c>
      <c r="C3010" s="1" t="str">
        <f>"00038"</f>
        <v>00038</v>
      </c>
      <c r="D301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10" s="1" t="s">
        <v>20</v>
      </c>
      <c r="F3010" s="1" t="str">
        <f t="shared" si="436"/>
        <v>Центр надання адміністративних послуг Рогатинської міської ради</v>
      </c>
      <c r="G3010" s="1" t="str">
        <f t="shared" si="434"/>
        <v>Фізична особа</v>
      </c>
      <c r="H3010" s="1" t="s">
        <v>20</v>
      </c>
      <c r="I3010" s="1" t="s">
        <v>20</v>
      </c>
      <c r="J3010" s="1" t="str">
        <f t="shared" si="437"/>
        <v>Закрито</v>
      </c>
      <c r="K3010" s="5">
        <v>45624</v>
      </c>
      <c r="L3010" s="1" t="s">
        <v>20</v>
      </c>
      <c r="M3010" s="1" t="s">
        <v>22</v>
      </c>
      <c r="N3010" s="5">
        <v>45624</v>
      </c>
    </row>
    <row r="3011" spans="1:14" x14ac:dyDescent="0.3">
      <c r="A3011" s="1" t="str">
        <f>"1_6090/2129-11/2024/Б"</f>
        <v>1_6090/2129-11/2024/Б</v>
      </c>
      <c r="B3011" s="6">
        <v>45624</v>
      </c>
      <c r="C3011" s="1" t="str">
        <f>"00038"</f>
        <v>00038</v>
      </c>
      <c r="D301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11" s="1" t="s">
        <v>20</v>
      </c>
      <c r="F3011" s="1" t="str">
        <f t="shared" si="436"/>
        <v>Центр надання адміністративних послуг Рогатинської міської ради</v>
      </c>
      <c r="G3011" s="1" t="str">
        <f t="shared" si="434"/>
        <v>Фізична особа</v>
      </c>
      <c r="H3011" s="1" t="s">
        <v>20</v>
      </c>
      <c r="I3011" s="1" t="s">
        <v>20</v>
      </c>
      <c r="J3011" s="1" t="str">
        <f t="shared" si="437"/>
        <v>Закрито</v>
      </c>
      <c r="K3011" s="5">
        <v>45624</v>
      </c>
      <c r="L3011" s="1" t="s">
        <v>20</v>
      </c>
      <c r="M3011" s="1" t="s">
        <v>22</v>
      </c>
      <c r="N3011" s="5">
        <v>45624</v>
      </c>
    </row>
    <row r="3012" spans="1:14" x14ac:dyDescent="0.3">
      <c r="A3012" s="1" t="str">
        <f>"2_2160/2129-11/2024/Р"</f>
        <v>2_2160/2129-11/2024/Р</v>
      </c>
      <c r="B3012" s="6">
        <v>45624</v>
      </c>
      <c r="C3012" s="1" t="str">
        <f t="shared" ref="C3012:C3024" si="438">"00041"</f>
        <v>00041</v>
      </c>
      <c r="D3012" s="2" t="str">
        <f t="shared" ref="D3012:D3024" si="439"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12" s="1" t="s">
        <v>20</v>
      </c>
      <c r="F3012" s="1" t="str">
        <f t="shared" si="436"/>
        <v>Центр надання адміністративних послуг Рогатинської міської ради</v>
      </c>
      <c r="G3012" s="1" t="str">
        <f t="shared" ref="G3012:G3024" si="440">"Юридична особа"</f>
        <v>Юридична особа</v>
      </c>
      <c r="H3012" s="1" t="str">
        <f t="shared" ref="H3012:H3024" si="441">"РОГАТИНСЬКА МІСЬКА РАДА"</f>
        <v>РОГАТИНСЬКА МІСЬКА РАДА</v>
      </c>
      <c r="I3012" s="1" t="str">
        <f t="shared" ref="I3012:I3024" si="442">"04054323"</f>
        <v>04054323</v>
      </c>
      <c r="J3012" s="1" t="str">
        <f t="shared" si="437"/>
        <v>Закрито</v>
      </c>
      <c r="K3012" s="5">
        <v>45624</v>
      </c>
      <c r="L3012" s="1" t="s">
        <v>20</v>
      </c>
      <c r="M3012" s="1" t="s">
        <v>22</v>
      </c>
      <c r="N3012" s="5">
        <v>45624</v>
      </c>
    </row>
    <row r="3013" spans="1:14" x14ac:dyDescent="0.3">
      <c r="A3013" s="1" t="str">
        <f>"2_2161/2129-11/2024/Р"</f>
        <v>2_2161/2129-11/2024/Р</v>
      </c>
      <c r="B3013" s="6">
        <v>45624</v>
      </c>
      <c r="C3013" s="1" t="str">
        <f t="shared" si="438"/>
        <v>00041</v>
      </c>
      <c r="D3013" s="2" t="str">
        <f t="shared" si="439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13" s="1" t="s">
        <v>20</v>
      </c>
      <c r="F3013" s="1" t="str">
        <f t="shared" si="436"/>
        <v>Центр надання адміністративних послуг Рогатинської міської ради</v>
      </c>
      <c r="G3013" s="1" t="str">
        <f t="shared" si="440"/>
        <v>Юридична особа</v>
      </c>
      <c r="H3013" s="1" t="str">
        <f t="shared" si="441"/>
        <v>РОГАТИНСЬКА МІСЬКА РАДА</v>
      </c>
      <c r="I3013" s="1" t="str">
        <f t="shared" si="442"/>
        <v>04054323</v>
      </c>
      <c r="J3013" s="1" t="str">
        <f t="shared" si="437"/>
        <v>Закрито</v>
      </c>
      <c r="K3013" s="5">
        <v>45624</v>
      </c>
      <c r="L3013" s="1" t="s">
        <v>20</v>
      </c>
      <c r="M3013" s="1" t="s">
        <v>22</v>
      </c>
      <c r="N3013" s="5">
        <v>45624</v>
      </c>
    </row>
    <row r="3014" spans="1:14" x14ac:dyDescent="0.3">
      <c r="A3014" s="1" t="str">
        <f>"2_2162/2129-11/2024/Р"</f>
        <v>2_2162/2129-11/2024/Р</v>
      </c>
      <c r="B3014" s="6">
        <v>45624</v>
      </c>
      <c r="C3014" s="1" t="str">
        <f t="shared" si="438"/>
        <v>00041</v>
      </c>
      <c r="D3014" s="2" t="str">
        <f t="shared" si="439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14" s="1" t="s">
        <v>20</v>
      </c>
      <c r="F3014" s="1" t="str">
        <f t="shared" si="436"/>
        <v>Центр надання адміністративних послуг Рогатинської міської ради</v>
      </c>
      <c r="G3014" s="1" t="str">
        <f t="shared" si="440"/>
        <v>Юридична особа</v>
      </c>
      <c r="H3014" s="1" t="str">
        <f t="shared" si="441"/>
        <v>РОГАТИНСЬКА МІСЬКА РАДА</v>
      </c>
      <c r="I3014" s="1" t="str">
        <f t="shared" si="442"/>
        <v>04054323</v>
      </c>
      <c r="J3014" s="1" t="str">
        <f t="shared" si="437"/>
        <v>Закрито</v>
      </c>
      <c r="K3014" s="5">
        <v>45624</v>
      </c>
      <c r="L3014" s="1" t="s">
        <v>20</v>
      </c>
      <c r="M3014" s="1" t="s">
        <v>22</v>
      </c>
      <c r="N3014" s="5">
        <v>45624</v>
      </c>
    </row>
    <row r="3015" spans="1:14" x14ac:dyDescent="0.3">
      <c r="A3015" s="1" t="str">
        <f>"2_2163/2129-11/2024/Р"</f>
        <v>2_2163/2129-11/2024/Р</v>
      </c>
      <c r="B3015" s="6">
        <v>45624</v>
      </c>
      <c r="C3015" s="1" t="str">
        <f t="shared" si="438"/>
        <v>00041</v>
      </c>
      <c r="D3015" s="2" t="str">
        <f t="shared" si="439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15" s="1" t="s">
        <v>20</v>
      </c>
      <c r="F3015" s="1" t="str">
        <f t="shared" si="436"/>
        <v>Центр надання адміністративних послуг Рогатинської міської ради</v>
      </c>
      <c r="G3015" s="1" t="str">
        <f t="shared" si="440"/>
        <v>Юридична особа</v>
      </c>
      <c r="H3015" s="1" t="str">
        <f t="shared" si="441"/>
        <v>РОГАТИНСЬКА МІСЬКА РАДА</v>
      </c>
      <c r="I3015" s="1" t="str">
        <f t="shared" si="442"/>
        <v>04054323</v>
      </c>
      <c r="J3015" s="1" t="str">
        <f t="shared" si="437"/>
        <v>Закрито</v>
      </c>
      <c r="K3015" s="5">
        <v>45624</v>
      </c>
      <c r="L3015" s="1" t="s">
        <v>20</v>
      </c>
      <c r="M3015" s="1" t="s">
        <v>22</v>
      </c>
      <c r="N3015" s="5">
        <v>45624</v>
      </c>
    </row>
    <row r="3016" spans="1:14" x14ac:dyDescent="0.3">
      <c r="A3016" s="1" t="str">
        <f>"2_2164/2129-11/2024/Р"</f>
        <v>2_2164/2129-11/2024/Р</v>
      </c>
      <c r="B3016" s="6">
        <v>45624</v>
      </c>
      <c r="C3016" s="1" t="str">
        <f t="shared" si="438"/>
        <v>00041</v>
      </c>
      <c r="D3016" s="2" t="str">
        <f t="shared" si="439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16" s="1" t="s">
        <v>20</v>
      </c>
      <c r="F3016" s="1" t="str">
        <f t="shared" si="436"/>
        <v>Центр надання адміністративних послуг Рогатинської міської ради</v>
      </c>
      <c r="G3016" s="1" t="str">
        <f t="shared" si="440"/>
        <v>Юридична особа</v>
      </c>
      <c r="H3016" s="1" t="str">
        <f t="shared" si="441"/>
        <v>РОГАТИНСЬКА МІСЬКА РАДА</v>
      </c>
      <c r="I3016" s="1" t="str">
        <f t="shared" si="442"/>
        <v>04054323</v>
      </c>
      <c r="J3016" s="1" t="str">
        <f t="shared" si="437"/>
        <v>Закрито</v>
      </c>
      <c r="K3016" s="5">
        <v>45624</v>
      </c>
      <c r="L3016" s="1" t="s">
        <v>20</v>
      </c>
      <c r="M3016" s="1" t="s">
        <v>22</v>
      </c>
      <c r="N3016" s="5">
        <v>45624</v>
      </c>
    </row>
    <row r="3017" spans="1:14" x14ac:dyDescent="0.3">
      <c r="A3017" s="1" t="str">
        <f>"2_2165/2129-11/2024/Р"</f>
        <v>2_2165/2129-11/2024/Р</v>
      </c>
      <c r="B3017" s="6">
        <v>45624</v>
      </c>
      <c r="C3017" s="1" t="str">
        <f t="shared" si="438"/>
        <v>00041</v>
      </c>
      <c r="D3017" s="2" t="str">
        <f t="shared" si="439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17" s="1" t="s">
        <v>20</v>
      </c>
      <c r="F3017" s="1" t="str">
        <f t="shared" si="436"/>
        <v>Центр надання адміністративних послуг Рогатинської міської ради</v>
      </c>
      <c r="G3017" s="1" t="str">
        <f t="shared" si="440"/>
        <v>Юридична особа</v>
      </c>
      <c r="H3017" s="1" t="str">
        <f t="shared" si="441"/>
        <v>РОГАТИНСЬКА МІСЬКА РАДА</v>
      </c>
      <c r="I3017" s="1" t="str">
        <f t="shared" si="442"/>
        <v>04054323</v>
      </c>
      <c r="J3017" s="1" t="str">
        <f t="shared" si="437"/>
        <v>Закрито</v>
      </c>
      <c r="K3017" s="5">
        <v>45624</v>
      </c>
      <c r="L3017" s="1" t="s">
        <v>20</v>
      </c>
      <c r="M3017" s="1" t="s">
        <v>22</v>
      </c>
      <c r="N3017" s="5">
        <v>45624</v>
      </c>
    </row>
    <row r="3018" spans="1:14" x14ac:dyDescent="0.3">
      <c r="A3018" s="1" t="str">
        <f>"2_2166/2129-11/2024/Р"</f>
        <v>2_2166/2129-11/2024/Р</v>
      </c>
      <c r="B3018" s="6">
        <v>45624</v>
      </c>
      <c r="C3018" s="1" t="str">
        <f t="shared" si="438"/>
        <v>00041</v>
      </c>
      <c r="D3018" s="2" t="str">
        <f t="shared" si="439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18" s="1" t="s">
        <v>20</v>
      </c>
      <c r="F3018" s="1" t="str">
        <f t="shared" si="436"/>
        <v>Центр надання адміністративних послуг Рогатинської міської ради</v>
      </c>
      <c r="G3018" s="1" t="str">
        <f t="shared" si="440"/>
        <v>Юридична особа</v>
      </c>
      <c r="H3018" s="1" t="str">
        <f t="shared" si="441"/>
        <v>РОГАТИНСЬКА МІСЬКА РАДА</v>
      </c>
      <c r="I3018" s="1" t="str">
        <f t="shared" si="442"/>
        <v>04054323</v>
      </c>
      <c r="J3018" s="1" t="str">
        <f t="shared" si="437"/>
        <v>Закрито</v>
      </c>
      <c r="K3018" s="5">
        <v>45624</v>
      </c>
      <c r="L3018" s="1" t="s">
        <v>20</v>
      </c>
      <c r="M3018" s="1" t="s">
        <v>22</v>
      </c>
      <c r="N3018" s="5">
        <v>45624</v>
      </c>
    </row>
    <row r="3019" spans="1:14" x14ac:dyDescent="0.3">
      <c r="A3019" s="1" t="str">
        <f>"2_2167/2129-11/2024/Р"</f>
        <v>2_2167/2129-11/2024/Р</v>
      </c>
      <c r="B3019" s="6">
        <v>45624</v>
      </c>
      <c r="C3019" s="1" t="str">
        <f t="shared" si="438"/>
        <v>00041</v>
      </c>
      <c r="D3019" s="2" t="str">
        <f t="shared" si="439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19" s="1" t="s">
        <v>20</v>
      </c>
      <c r="F3019" s="1" t="str">
        <f t="shared" si="436"/>
        <v>Центр надання адміністративних послуг Рогатинської міської ради</v>
      </c>
      <c r="G3019" s="1" t="str">
        <f t="shared" si="440"/>
        <v>Юридична особа</v>
      </c>
      <c r="H3019" s="1" t="str">
        <f t="shared" si="441"/>
        <v>РОГАТИНСЬКА МІСЬКА РАДА</v>
      </c>
      <c r="I3019" s="1" t="str">
        <f t="shared" si="442"/>
        <v>04054323</v>
      </c>
      <c r="J3019" s="1" t="str">
        <f t="shared" si="437"/>
        <v>Закрито</v>
      </c>
      <c r="K3019" s="5">
        <v>45624</v>
      </c>
      <c r="L3019" s="1" t="s">
        <v>20</v>
      </c>
      <c r="M3019" s="1" t="s">
        <v>22</v>
      </c>
      <c r="N3019" s="5">
        <v>45624</v>
      </c>
    </row>
    <row r="3020" spans="1:14" x14ac:dyDescent="0.3">
      <c r="A3020" s="1" t="str">
        <f>"2_2168/2129-11/2024/Р"</f>
        <v>2_2168/2129-11/2024/Р</v>
      </c>
      <c r="B3020" s="6">
        <v>45624</v>
      </c>
      <c r="C3020" s="1" t="str">
        <f t="shared" si="438"/>
        <v>00041</v>
      </c>
      <c r="D3020" s="2" t="str">
        <f t="shared" si="439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20" s="1" t="s">
        <v>20</v>
      </c>
      <c r="F3020" s="1" t="str">
        <f t="shared" si="436"/>
        <v>Центр надання адміністративних послуг Рогатинської міської ради</v>
      </c>
      <c r="G3020" s="1" t="str">
        <f t="shared" si="440"/>
        <v>Юридична особа</v>
      </c>
      <c r="H3020" s="1" t="str">
        <f t="shared" si="441"/>
        <v>РОГАТИНСЬКА МІСЬКА РАДА</v>
      </c>
      <c r="I3020" s="1" t="str">
        <f t="shared" si="442"/>
        <v>04054323</v>
      </c>
      <c r="J3020" s="1" t="str">
        <f t="shared" si="437"/>
        <v>Закрито</v>
      </c>
      <c r="K3020" s="5">
        <v>45624</v>
      </c>
      <c r="L3020" s="1" t="s">
        <v>20</v>
      </c>
      <c r="M3020" s="1" t="s">
        <v>22</v>
      </c>
      <c r="N3020" s="5">
        <v>45624</v>
      </c>
    </row>
    <row r="3021" spans="1:14" x14ac:dyDescent="0.3">
      <c r="A3021" s="1" t="str">
        <f>"2_2169/2129-11/2024/Р"</f>
        <v>2_2169/2129-11/2024/Р</v>
      </c>
      <c r="B3021" s="6">
        <v>45624</v>
      </c>
      <c r="C3021" s="1" t="str">
        <f t="shared" si="438"/>
        <v>00041</v>
      </c>
      <c r="D3021" s="2" t="str">
        <f t="shared" si="439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21" s="1" t="s">
        <v>20</v>
      </c>
      <c r="F3021" s="1" t="str">
        <f t="shared" si="436"/>
        <v>Центр надання адміністративних послуг Рогатинської міської ради</v>
      </c>
      <c r="G3021" s="1" t="str">
        <f t="shared" si="440"/>
        <v>Юридична особа</v>
      </c>
      <c r="H3021" s="1" t="str">
        <f t="shared" si="441"/>
        <v>РОГАТИНСЬКА МІСЬКА РАДА</v>
      </c>
      <c r="I3021" s="1" t="str">
        <f t="shared" si="442"/>
        <v>04054323</v>
      </c>
      <c r="J3021" s="1" t="str">
        <f t="shared" si="437"/>
        <v>Закрито</v>
      </c>
      <c r="K3021" s="5">
        <v>45624</v>
      </c>
      <c r="L3021" s="1" t="s">
        <v>20</v>
      </c>
      <c r="M3021" s="1" t="s">
        <v>22</v>
      </c>
      <c r="N3021" s="5">
        <v>45624</v>
      </c>
    </row>
    <row r="3022" spans="1:14" x14ac:dyDescent="0.3">
      <c r="A3022" s="1" t="str">
        <f>"2_2170/2129-11/2024/Р"</f>
        <v>2_2170/2129-11/2024/Р</v>
      </c>
      <c r="B3022" s="6">
        <v>45624</v>
      </c>
      <c r="C3022" s="1" t="str">
        <f t="shared" si="438"/>
        <v>00041</v>
      </c>
      <c r="D3022" s="2" t="str">
        <f t="shared" si="439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22" s="1" t="s">
        <v>20</v>
      </c>
      <c r="F3022" s="1" t="str">
        <f t="shared" si="436"/>
        <v>Центр надання адміністративних послуг Рогатинської міської ради</v>
      </c>
      <c r="G3022" s="1" t="str">
        <f t="shared" si="440"/>
        <v>Юридична особа</v>
      </c>
      <c r="H3022" s="1" t="str">
        <f t="shared" si="441"/>
        <v>РОГАТИНСЬКА МІСЬКА РАДА</v>
      </c>
      <c r="I3022" s="1" t="str">
        <f t="shared" si="442"/>
        <v>04054323</v>
      </c>
      <c r="J3022" s="1" t="str">
        <f t="shared" si="437"/>
        <v>Закрито</v>
      </c>
      <c r="K3022" s="5">
        <v>45624</v>
      </c>
      <c r="L3022" s="1" t="s">
        <v>20</v>
      </c>
      <c r="M3022" s="1" t="s">
        <v>22</v>
      </c>
      <c r="N3022" s="5">
        <v>45624</v>
      </c>
    </row>
    <row r="3023" spans="1:14" x14ac:dyDescent="0.3">
      <c r="A3023" s="1" t="str">
        <f>"2_2171/2129-11/2024/Р"</f>
        <v>2_2171/2129-11/2024/Р</v>
      </c>
      <c r="B3023" s="6">
        <v>45624</v>
      </c>
      <c r="C3023" s="1" t="str">
        <f t="shared" si="438"/>
        <v>00041</v>
      </c>
      <c r="D3023" s="2" t="str">
        <f t="shared" si="439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23" s="1" t="s">
        <v>20</v>
      </c>
      <c r="F3023" s="1" t="str">
        <f t="shared" si="436"/>
        <v>Центр надання адміністративних послуг Рогатинської міської ради</v>
      </c>
      <c r="G3023" s="1" t="str">
        <f t="shared" si="440"/>
        <v>Юридична особа</v>
      </c>
      <c r="H3023" s="1" t="str">
        <f t="shared" si="441"/>
        <v>РОГАТИНСЬКА МІСЬКА РАДА</v>
      </c>
      <c r="I3023" s="1" t="str">
        <f t="shared" si="442"/>
        <v>04054323</v>
      </c>
      <c r="J3023" s="1" t="str">
        <f t="shared" si="437"/>
        <v>Закрито</v>
      </c>
      <c r="K3023" s="5">
        <v>45624</v>
      </c>
      <c r="L3023" s="1" t="s">
        <v>20</v>
      </c>
      <c r="M3023" s="1" t="s">
        <v>22</v>
      </c>
      <c r="N3023" s="5">
        <v>45624</v>
      </c>
    </row>
    <row r="3024" spans="1:14" x14ac:dyDescent="0.3">
      <c r="A3024" s="1" t="str">
        <f>"2_2172/2129-11/2024/Р"</f>
        <v>2_2172/2129-11/2024/Р</v>
      </c>
      <c r="B3024" s="6">
        <v>45624</v>
      </c>
      <c r="C3024" s="1" t="str">
        <f t="shared" si="438"/>
        <v>00041</v>
      </c>
      <c r="D3024" s="2" t="str">
        <f t="shared" si="439"/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024" s="1" t="s">
        <v>20</v>
      </c>
      <c r="F3024" s="1" t="str">
        <f t="shared" si="436"/>
        <v>Центр надання адміністративних послуг Рогатинської міської ради</v>
      </c>
      <c r="G3024" s="1" t="str">
        <f t="shared" si="440"/>
        <v>Юридична особа</v>
      </c>
      <c r="H3024" s="1" t="str">
        <f t="shared" si="441"/>
        <v>РОГАТИНСЬКА МІСЬКА РАДА</v>
      </c>
      <c r="I3024" s="1" t="str">
        <f t="shared" si="442"/>
        <v>04054323</v>
      </c>
      <c r="J3024" s="1" t="str">
        <f t="shared" si="437"/>
        <v>Закрито</v>
      </c>
      <c r="K3024" s="5">
        <v>45624</v>
      </c>
      <c r="L3024" s="1" t="s">
        <v>20</v>
      </c>
      <c r="M3024" s="1" t="s">
        <v>22</v>
      </c>
      <c r="N3024" s="5">
        <v>45624</v>
      </c>
    </row>
    <row r="3025" spans="1:14" x14ac:dyDescent="0.3">
      <c r="A3025" s="1" t="str">
        <f>"10_130-11/2024/Я"</f>
        <v>10_130-11/2024/Я</v>
      </c>
      <c r="B3025" s="6">
        <v>45624</v>
      </c>
      <c r="C3025" s="1" t="str">
        <f>"00038"</f>
        <v>00038</v>
      </c>
      <c r="D302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25" s="1" t="s">
        <v>20</v>
      </c>
      <c r="F3025" s="1" t="str">
        <f t="shared" si="436"/>
        <v>Центр надання адміністративних послуг Рогатинської міської ради</v>
      </c>
      <c r="G3025" s="1" t="str">
        <f t="shared" ref="G3025:G3031" si="443">"Фізична особа"</f>
        <v>Фізична особа</v>
      </c>
      <c r="H3025" s="1" t="s">
        <v>20</v>
      </c>
      <c r="I3025" s="1" t="s">
        <v>20</v>
      </c>
      <c r="J3025" s="1" t="str">
        <f t="shared" si="437"/>
        <v>Закрито</v>
      </c>
      <c r="K3025" s="5">
        <v>45624</v>
      </c>
      <c r="L3025" s="1" t="s">
        <v>20</v>
      </c>
      <c r="M3025" s="1" t="s">
        <v>22</v>
      </c>
      <c r="N3025" s="5">
        <v>45624</v>
      </c>
    </row>
    <row r="3026" spans="1:14" x14ac:dyDescent="0.3">
      <c r="A3026" s="1" t="str">
        <f>"19_535-11/2024/Г"</f>
        <v>19_535-11/2024/Г</v>
      </c>
      <c r="B3026" s="6">
        <v>45624</v>
      </c>
      <c r="C3026" s="1" t="str">
        <f>"33"</f>
        <v>33</v>
      </c>
      <c r="D3026" s="2" t="str">
        <f>"33 Довідки різного характеру"</f>
        <v>33 Довідки різного характеру</v>
      </c>
      <c r="E3026" s="1" t="s">
        <v>20</v>
      </c>
      <c r="F3026" s="1" t="str">
        <f t="shared" si="436"/>
        <v>Центр надання адміністративних послуг Рогатинської міської ради</v>
      </c>
      <c r="G3026" s="1" t="str">
        <f t="shared" si="443"/>
        <v>Фізична особа</v>
      </c>
      <c r="H3026" s="1" t="s">
        <v>20</v>
      </c>
      <c r="I3026" s="1" t="s">
        <v>20</v>
      </c>
      <c r="J3026" s="1" t="str">
        <f t="shared" si="437"/>
        <v>Закрито</v>
      </c>
      <c r="K3026" s="5">
        <v>45624</v>
      </c>
      <c r="L3026" s="1" t="s">
        <v>20</v>
      </c>
      <c r="M3026" s="1" t="s">
        <v>22</v>
      </c>
      <c r="N3026" s="5">
        <v>45624</v>
      </c>
    </row>
    <row r="3027" spans="1:14" x14ac:dyDescent="0.3">
      <c r="A3027" s="1" t="str">
        <f>"10_131-11/2024/Я"</f>
        <v>10_131-11/2024/Я</v>
      </c>
      <c r="B3027" s="6">
        <v>45624</v>
      </c>
      <c r="C3027" s="1" t="str">
        <f>"33"</f>
        <v>33</v>
      </c>
      <c r="D3027" s="2" t="str">
        <f>"33 Довідки різного характеру"</f>
        <v>33 Довідки різного характеру</v>
      </c>
      <c r="E3027" s="1" t="s">
        <v>20</v>
      </c>
      <c r="F3027" s="1" t="str">
        <f t="shared" si="436"/>
        <v>Центр надання адміністративних послуг Рогатинської міської ради</v>
      </c>
      <c r="G3027" s="1" t="str">
        <f t="shared" si="443"/>
        <v>Фізична особа</v>
      </c>
      <c r="H3027" s="1" t="s">
        <v>20</v>
      </c>
      <c r="I3027" s="1" t="s">
        <v>20</v>
      </c>
      <c r="J3027" s="1" t="str">
        <f t="shared" si="437"/>
        <v>Закрито</v>
      </c>
      <c r="K3027" s="5">
        <v>45624</v>
      </c>
      <c r="L3027" s="1" t="s">
        <v>20</v>
      </c>
      <c r="M3027" s="1" t="s">
        <v>22</v>
      </c>
      <c r="N3027" s="5">
        <v>45624</v>
      </c>
    </row>
    <row r="3028" spans="1:14" x14ac:dyDescent="0.3">
      <c r="A3028" s="1" t="str">
        <f>"19_536-11/2024/Г"</f>
        <v>19_536-11/2024/Г</v>
      </c>
      <c r="B3028" s="6">
        <v>45624</v>
      </c>
      <c r="C3028" s="1" t="str">
        <f>"33"</f>
        <v>33</v>
      </c>
      <c r="D3028" s="2" t="str">
        <f>"33 Довідки різного характеру"</f>
        <v>33 Довідки різного характеру</v>
      </c>
      <c r="E3028" s="1" t="s">
        <v>20</v>
      </c>
      <c r="F3028" s="1" t="str">
        <f t="shared" si="436"/>
        <v>Центр надання адміністративних послуг Рогатинської міської ради</v>
      </c>
      <c r="G3028" s="1" t="str">
        <f t="shared" si="443"/>
        <v>Фізична особа</v>
      </c>
      <c r="H3028" s="1" t="s">
        <v>20</v>
      </c>
      <c r="I3028" s="1" t="s">
        <v>20</v>
      </c>
      <c r="J3028" s="1" t="str">
        <f t="shared" si="437"/>
        <v>Закрито</v>
      </c>
      <c r="K3028" s="5">
        <v>45624</v>
      </c>
      <c r="L3028" s="1" t="s">
        <v>20</v>
      </c>
      <c r="M3028" s="1" t="s">
        <v>22</v>
      </c>
      <c r="N3028" s="5">
        <v>45624</v>
      </c>
    </row>
    <row r="3029" spans="1:14" x14ac:dyDescent="0.3">
      <c r="A3029" s="1" t="str">
        <f>"10_132-11/2024/Я"</f>
        <v>10_132-11/2024/Я</v>
      </c>
      <c r="B3029" s="6">
        <v>45624</v>
      </c>
      <c r="C3029" s="1" t="str">
        <f>"00038"</f>
        <v>00038</v>
      </c>
      <c r="D302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29" s="1" t="s">
        <v>20</v>
      </c>
      <c r="F3029" s="1" t="str">
        <f t="shared" si="436"/>
        <v>Центр надання адміністративних послуг Рогатинської міської ради</v>
      </c>
      <c r="G3029" s="1" t="str">
        <f t="shared" si="443"/>
        <v>Фізична особа</v>
      </c>
      <c r="H3029" s="1" t="s">
        <v>20</v>
      </c>
      <c r="I3029" s="1" t="s">
        <v>20</v>
      </c>
      <c r="J3029" s="1" t="str">
        <f t="shared" si="437"/>
        <v>Закрито</v>
      </c>
      <c r="K3029" s="5">
        <v>45624</v>
      </c>
      <c r="L3029" s="1" t="s">
        <v>20</v>
      </c>
      <c r="M3029" s="1" t="s">
        <v>22</v>
      </c>
      <c r="N3029" s="5">
        <v>45624</v>
      </c>
    </row>
    <row r="3030" spans="1:14" x14ac:dyDescent="0.3">
      <c r="A3030" s="1" t="str">
        <f>"1_6091/2129-11/2024/К"</f>
        <v>1_6091/2129-11/2024/К</v>
      </c>
      <c r="B3030" s="6">
        <v>45624</v>
      </c>
      <c r="C3030" s="1" t="str">
        <f>"01296"</f>
        <v>01296</v>
      </c>
      <c r="D3030" s="2" t="str">
        <f>"Видача довідки про проживання без реєстрації"</f>
        <v>Видача довідки про проживання без реєстрації</v>
      </c>
      <c r="E3030" s="1" t="s">
        <v>20</v>
      </c>
      <c r="F3030" s="1" t="str">
        <f t="shared" si="436"/>
        <v>Центр надання адміністративних послуг Рогатинської міської ради</v>
      </c>
      <c r="G3030" s="1" t="str">
        <f t="shared" si="443"/>
        <v>Фізична особа</v>
      </c>
      <c r="H3030" s="1" t="s">
        <v>20</v>
      </c>
      <c r="I3030" s="1" t="s">
        <v>20</v>
      </c>
      <c r="J3030" s="1" t="str">
        <f t="shared" si="437"/>
        <v>Закрито</v>
      </c>
      <c r="K3030" s="5">
        <v>45624</v>
      </c>
      <c r="L3030" s="1" t="s">
        <v>20</v>
      </c>
      <c r="M3030" s="1" t="s">
        <v>22</v>
      </c>
      <c r="N3030" s="5">
        <v>45624</v>
      </c>
    </row>
    <row r="3031" spans="1:14" x14ac:dyDescent="0.3">
      <c r="A3031" s="1" t="str">
        <f>"27_604-11/2024/Д"</f>
        <v>27_604-11/2024/Д</v>
      </c>
      <c r="B3031" s="6">
        <v>45624</v>
      </c>
      <c r="C3031" s="1" t="str">
        <f>"00038"</f>
        <v>00038</v>
      </c>
      <c r="D303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31" s="1" t="s">
        <v>20</v>
      </c>
      <c r="F3031" s="1" t="str">
        <f t="shared" si="436"/>
        <v>Центр надання адміністративних послуг Рогатинської міської ради</v>
      </c>
      <c r="G3031" s="1" t="str">
        <f t="shared" si="443"/>
        <v>Фізична особа</v>
      </c>
      <c r="H3031" s="1" t="s">
        <v>20</v>
      </c>
      <c r="I3031" s="1" t="s">
        <v>20</v>
      </c>
      <c r="J3031" s="1" t="str">
        <f t="shared" si="437"/>
        <v>Закрито</v>
      </c>
      <c r="K3031" s="5">
        <v>45624</v>
      </c>
      <c r="L3031" s="1" t="s">
        <v>20</v>
      </c>
      <c r="M3031" s="1" t="s">
        <v>22</v>
      </c>
      <c r="N3031" s="5">
        <v>45624</v>
      </c>
    </row>
    <row r="3032" spans="1:14" x14ac:dyDescent="0.3">
      <c r="A3032" s="1" t="str">
        <f>"27_605-11/2024/Д"</f>
        <v>27_605-11/2024/Д</v>
      </c>
      <c r="B3032" s="6">
        <v>45624</v>
      </c>
      <c r="C3032" s="1" t="str">
        <f>"01297"</f>
        <v>01297</v>
      </c>
      <c r="D3032" s="2" t="str">
        <f>"Видача довідок-характеристик на громадян"</f>
        <v>Видача довідок-характеристик на громадян</v>
      </c>
      <c r="E3032" s="1" t="s">
        <v>20</v>
      </c>
      <c r="F3032" s="1" t="str">
        <f t="shared" si="436"/>
        <v>Центр надання адміністративних послуг Рогатинської міської ради</v>
      </c>
      <c r="G3032" s="1" t="str">
        <f>"Юридична особа"</f>
        <v>Юридична особа</v>
      </c>
      <c r="H3032" s="1" t="str">
        <f>"Державна установа ""Центр пробації"""</f>
        <v>Державна установа "Центр пробації"</v>
      </c>
      <c r="I3032" s="1" t="s">
        <v>20</v>
      </c>
      <c r="J3032" s="1" t="str">
        <f t="shared" si="437"/>
        <v>Закрито</v>
      </c>
      <c r="K3032" s="5">
        <v>45624</v>
      </c>
      <c r="L3032" s="1" t="s">
        <v>20</v>
      </c>
      <c r="M3032" s="1" t="s">
        <v>22</v>
      </c>
      <c r="N3032" s="5">
        <v>45624</v>
      </c>
    </row>
    <row r="3033" spans="1:14" x14ac:dyDescent="0.3">
      <c r="A3033" s="1" t="str">
        <f>"27_606-11/2024/Г"</f>
        <v>27_606-11/2024/Г</v>
      </c>
      <c r="B3033" s="6">
        <v>45624</v>
      </c>
      <c r="C3033" s="1" t="str">
        <f>"00038"</f>
        <v>00038</v>
      </c>
      <c r="D303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33" s="1" t="s">
        <v>20</v>
      </c>
      <c r="F3033" s="1" t="str">
        <f t="shared" si="436"/>
        <v>Центр надання адміністративних послуг Рогатинської міської ради</v>
      </c>
      <c r="G3033" s="1" t="str">
        <f t="shared" ref="G3033:G3079" si="444">"Фізична особа"</f>
        <v>Фізична особа</v>
      </c>
      <c r="H3033" s="1" t="s">
        <v>20</v>
      </c>
      <c r="I3033" s="1" t="s">
        <v>20</v>
      </c>
      <c r="J3033" s="1" t="str">
        <f t="shared" si="437"/>
        <v>Закрито</v>
      </c>
      <c r="K3033" s="5">
        <v>45624</v>
      </c>
      <c r="L3033" s="1" t="s">
        <v>20</v>
      </c>
      <c r="M3033" s="1" t="s">
        <v>22</v>
      </c>
      <c r="N3033" s="5">
        <v>45624</v>
      </c>
    </row>
    <row r="3034" spans="1:14" x14ac:dyDescent="0.3">
      <c r="A3034" s="1" t="str">
        <f>"10_133-11/2024/Б"</f>
        <v>10_133-11/2024/Б</v>
      </c>
      <c r="B3034" s="6">
        <v>45624</v>
      </c>
      <c r="C3034" s="1" t="str">
        <f>"00038"</f>
        <v>00038</v>
      </c>
      <c r="D303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34" s="1" t="s">
        <v>20</v>
      </c>
      <c r="F3034" s="1" t="str">
        <f t="shared" si="436"/>
        <v>Центр надання адміністративних послуг Рогатинської міської ради</v>
      </c>
      <c r="G3034" s="1" t="str">
        <f t="shared" si="444"/>
        <v>Фізична особа</v>
      </c>
      <c r="H3034" s="1" t="s">
        <v>20</v>
      </c>
      <c r="I3034" s="1" t="s">
        <v>20</v>
      </c>
      <c r="J3034" s="1" t="str">
        <f t="shared" si="437"/>
        <v>Закрито</v>
      </c>
      <c r="K3034" s="5">
        <v>45624</v>
      </c>
      <c r="L3034" s="1" t="s">
        <v>20</v>
      </c>
      <c r="M3034" s="1" t="s">
        <v>22</v>
      </c>
      <c r="N3034" s="5">
        <v>45624</v>
      </c>
    </row>
    <row r="3035" spans="1:14" x14ac:dyDescent="0.3">
      <c r="A3035" s="1" t="str">
        <f>"34_403-11/2024/Л"</f>
        <v>34_403-11/2024/Л</v>
      </c>
      <c r="B3035" s="6">
        <v>45624</v>
      </c>
      <c r="C3035" s="1" t="str">
        <f>"01495"</f>
        <v>01495</v>
      </c>
      <c r="D3035" s="2" t="str">
        <f>"Видача довідки про всіх зареєстрованих на день смерті за адресою померлого, наявність або відсутність заповіту"</f>
        <v>Видача довідки про всіх зареєстрованих на день смерті за адресою померлого, наявність або відсутність заповіту</v>
      </c>
      <c r="E3035" s="1" t="s">
        <v>20</v>
      </c>
      <c r="F3035" s="1" t="str">
        <f t="shared" si="436"/>
        <v>Центр надання адміністративних послуг Рогатинської міської ради</v>
      </c>
      <c r="G3035" s="1" t="str">
        <f t="shared" si="444"/>
        <v>Фізична особа</v>
      </c>
      <c r="H3035" s="1" t="s">
        <v>20</v>
      </c>
      <c r="I3035" s="1" t="s">
        <v>20</v>
      </c>
      <c r="J3035" s="1" t="str">
        <f t="shared" si="437"/>
        <v>Закрито</v>
      </c>
      <c r="K3035" s="5">
        <v>45624</v>
      </c>
      <c r="L3035" s="1" t="s">
        <v>20</v>
      </c>
      <c r="M3035" s="1" t="s">
        <v>22</v>
      </c>
      <c r="N3035" s="5">
        <v>45624</v>
      </c>
    </row>
    <row r="3036" spans="1:14" x14ac:dyDescent="0.3">
      <c r="A3036" s="1" t="str">
        <f>"10_134-11/2024/Б"</f>
        <v>10_134-11/2024/Б</v>
      </c>
      <c r="B3036" s="6">
        <v>45624</v>
      </c>
      <c r="C3036" s="1" t="str">
        <f>"00038"</f>
        <v>00038</v>
      </c>
      <c r="D303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36" s="1" t="s">
        <v>20</v>
      </c>
      <c r="F3036" s="1" t="str">
        <f t="shared" si="436"/>
        <v>Центр надання адміністративних послуг Рогатинської міської ради</v>
      </c>
      <c r="G3036" s="1" t="str">
        <f t="shared" si="444"/>
        <v>Фізична особа</v>
      </c>
      <c r="H3036" s="1" t="s">
        <v>20</v>
      </c>
      <c r="I3036" s="1" t="s">
        <v>20</v>
      </c>
      <c r="J3036" s="1" t="str">
        <f t="shared" si="437"/>
        <v>Закрито</v>
      </c>
      <c r="K3036" s="5">
        <v>45624</v>
      </c>
      <c r="L3036" s="1" t="s">
        <v>20</v>
      </c>
      <c r="M3036" s="1" t="s">
        <v>22</v>
      </c>
      <c r="N3036" s="5">
        <v>45624</v>
      </c>
    </row>
    <row r="3037" spans="1:14" x14ac:dyDescent="0.3">
      <c r="A3037" s="1" t="str">
        <f>"10_135-11/2024/Б"</f>
        <v>10_135-11/2024/Б</v>
      </c>
      <c r="B3037" s="6">
        <v>45624</v>
      </c>
      <c r="C3037" s="1" t="str">
        <f>"00155"</f>
        <v>00155</v>
      </c>
      <c r="D3037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037" s="1" t="str">
        <f>"03193413"</f>
        <v>03193413</v>
      </c>
      <c r="F303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37" s="1" t="str">
        <f t="shared" si="444"/>
        <v>Фізична особа</v>
      </c>
      <c r="H3037" s="1" t="s">
        <v>20</v>
      </c>
      <c r="I3037" s="1" t="s">
        <v>20</v>
      </c>
      <c r="J3037" s="1" t="str">
        <f>"Заявника сповіщено про результат"</f>
        <v>Заявника сповіщено про результат</v>
      </c>
      <c r="K3037" s="5">
        <v>45653</v>
      </c>
      <c r="L3037" s="1" t="s">
        <v>20</v>
      </c>
      <c r="M3037" s="1" t="s">
        <v>22</v>
      </c>
      <c r="N3037" s="5">
        <v>45653</v>
      </c>
    </row>
    <row r="3038" spans="1:14" x14ac:dyDescent="0.3">
      <c r="A3038" s="1" t="str">
        <f>"28_674-11/2024/К"</f>
        <v>28_674-11/2024/К</v>
      </c>
      <c r="B3038" s="6">
        <v>45624</v>
      </c>
      <c r="C3038" s="1" t="str">
        <f>"00155"</f>
        <v>00155</v>
      </c>
      <c r="D3038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038" s="1" t="str">
        <f>"03193413"</f>
        <v>03193413</v>
      </c>
      <c r="F303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38" s="1" t="str">
        <f t="shared" si="444"/>
        <v>Фізична особа</v>
      </c>
      <c r="H3038" s="1" t="s">
        <v>20</v>
      </c>
      <c r="I3038" s="1" t="s">
        <v>20</v>
      </c>
      <c r="J3038" s="1" t="str">
        <f t="shared" ref="J3038:J3045" si="445">"Закрито"</f>
        <v>Закрито</v>
      </c>
      <c r="K3038" s="5">
        <v>45636</v>
      </c>
      <c r="L3038" s="1" t="s">
        <v>20</v>
      </c>
      <c r="M3038" s="1" t="s">
        <v>22</v>
      </c>
      <c r="N3038" s="5">
        <v>45636</v>
      </c>
    </row>
    <row r="3039" spans="1:14" x14ac:dyDescent="0.3">
      <c r="A3039" s="1" t="str">
        <f>"8_561-11/2024/В"</f>
        <v>8_561-11/2024/В</v>
      </c>
      <c r="B3039" s="6">
        <v>45624</v>
      </c>
      <c r="C3039" s="1" t="str">
        <f>"00155"</f>
        <v>00155</v>
      </c>
      <c r="D3039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039" s="1" t="str">
        <f>"03193413"</f>
        <v>03193413</v>
      </c>
      <c r="F303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39" s="1" t="str">
        <f t="shared" si="444"/>
        <v>Фізична особа</v>
      </c>
      <c r="H3039" s="1" t="s">
        <v>20</v>
      </c>
      <c r="I3039" s="1" t="s">
        <v>20</v>
      </c>
      <c r="J3039" s="1" t="str">
        <f t="shared" si="445"/>
        <v>Закрито</v>
      </c>
      <c r="K3039" s="5">
        <v>45629</v>
      </c>
      <c r="L3039" s="1" t="s">
        <v>20</v>
      </c>
      <c r="M3039" s="1" t="s">
        <v>22</v>
      </c>
      <c r="N3039" s="5">
        <v>45629</v>
      </c>
    </row>
    <row r="3040" spans="1:14" x14ac:dyDescent="0.3">
      <c r="A3040" s="1" t="str">
        <f>"27_607-11/2024/Г"</f>
        <v>27_607-11/2024/Г</v>
      </c>
      <c r="B3040" s="6">
        <v>45624</v>
      </c>
      <c r="C3040" s="1" t="str">
        <f>"33"</f>
        <v>33</v>
      </c>
      <c r="D3040" s="2" t="str">
        <f>"33 Довідки різного характеру"</f>
        <v>33 Довідки різного характеру</v>
      </c>
      <c r="E3040" s="1" t="s">
        <v>20</v>
      </c>
      <c r="F3040" s="1" t="str">
        <f t="shared" ref="F3040:F3045" si="446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40" s="1" t="str">
        <f t="shared" si="444"/>
        <v>Фізична особа</v>
      </c>
      <c r="H3040" s="1" t="s">
        <v>20</v>
      </c>
      <c r="I3040" s="1" t="s">
        <v>20</v>
      </c>
      <c r="J3040" s="1" t="str">
        <f t="shared" si="445"/>
        <v>Закрито</v>
      </c>
      <c r="K3040" s="5">
        <v>45625</v>
      </c>
      <c r="L3040" s="1" t="s">
        <v>20</v>
      </c>
      <c r="M3040" s="1" t="s">
        <v>22</v>
      </c>
      <c r="N3040" s="5">
        <v>45625</v>
      </c>
    </row>
    <row r="3041" spans="1:14" x14ac:dyDescent="0.3">
      <c r="A3041" s="1" t="str">
        <f>"8_562-11/2024/В"</f>
        <v>8_562-11/2024/В</v>
      </c>
      <c r="B3041" s="6">
        <v>45624</v>
      </c>
      <c r="C3041" s="1" t="str">
        <f>"00038"</f>
        <v>00038</v>
      </c>
      <c r="D304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41" s="1" t="s">
        <v>20</v>
      </c>
      <c r="F3041" s="1" t="str">
        <f t="shared" si="446"/>
        <v>Центр надання адміністративних послуг Рогатинської міської ради</v>
      </c>
      <c r="G3041" s="1" t="str">
        <f t="shared" si="444"/>
        <v>Фізична особа</v>
      </c>
      <c r="H3041" s="1" t="s">
        <v>20</v>
      </c>
      <c r="I3041" s="1" t="s">
        <v>20</v>
      </c>
      <c r="J3041" s="1" t="str">
        <f t="shared" si="445"/>
        <v>Закрито</v>
      </c>
      <c r="K3041" s="5">
        <v>45624</v>
      </c>
      <c r="L3041" s="1" t="s">
        <v>20</v>
      </c>
      <c r="M3041" s="1" t="s">
        <v>22</v>
      </c>
      <c r="N3041" s="5">
        <v>45624</v>
      </c>
    </row>
    <row r="3042" spans="1:14" x14ac:dyDescent="0.3">
      <c r="A3042" s="1" t="str">
        <f>"14_1043-11/2024/С"</f>
        <v>14_1043-11/2024/С</v>
      </c>
      <c r="B3042" s="6">
        <v>45624</v>
      </c>
      <c r="C3042" s="1" t="str">
        <f>"33"</f>
        <v>33</v>
      </c>
      <c r="D3042" s="2" t="str">
        <f>"33 Довідки різного характеру"</f>
        <v>33 Довідки різного характеру</v>
      </c>
      <c r="E3042" s="1" t="s">
        <v>20</v>
      </c>
      <c r="F3042" s="1" t="str">
        <f t="shared" si="446"/>
        <v>Центр надання адміністративних послуг Рогатинської міської ради</v>
      </c>
      <c r="G3042" s="1" t="str">
        <f t="shared" si="444"/>
        <v>Фізична особа</v>
      </c>
      <c r="H3042" s="1" t="s">
        <v>20</v>
      </c>
      <c r="I3042" s="1" t="s">
        <v>20</v>
      </c>
      <c r="J3042" s="1" t="str">
        <f t="shared" si="445"/>
        <v>Закрито</v>
      </c>
      <c r="K3042" s="5">
        <v>45629</v>
      </c>
      <c r="L3042" s="1" t="s">
        <v>20</v>
      </c>
      <c r="M3042" s="1" t="s">
        <v>22</v>
      </c>
      <c r="N3042" s="5">
        <v>45629</v>
      </c>
    </row>
    <row r="3043" spans="1:14" x14ac:dyDescent="0.3">
      <c r="A3043" s="1" t="str">
        <f>"14_1044-11/2024/С"</f>
        <v>14_1044-11/2024/С</v>
      </c>
      <c r="B3043" s="6">
        <v>45624</v>
      </c>
      <c r="C3043" s="1" t="str">
        <f>"01841"</f>
        <v>01841</v>
      </c>
      <c r="D3043" s="2" t="str">
        <f>"Видача довідки про реєстрацію та проживання особи станом на 15.04.1991 року"</f>
        <v>Видача довідки про реєстрацію та проживання особи станом на 15.04.1991 року</v>
      </c>
      <c r="E3043" s="1" t="s">
        <v>20</v>
      </c>
      <c r="F3043" s="1" t="str">
        <f t="shared" si="446"/>
        <v>Центр надання адміністративних послуг Рогатинської міської ради</v>
      </c>
      <c r="G3043" s="1" t="str">
        <f t="shared" si="444"/>
        <v>Фізична особа</v>
      </c>
      <c r="H3043" s="1" t="s">
        <v>20</v>
      </c>
      <c r="I3043" s="1" t="s">
        <v>20</v>
      </c>
      <c r="J3043" s="1" t="str">
        <f t="shared" si="445"/>
        <v>Закрито</v>
      </c>
      <c r="K3043" s="5">
        <v>45624</v>
      </c>
      <c r="L3043" s="1" t="s">
        <v>20</v>
      </c>
      <c r="M3043" s="1" t="s">
        <v>22</v>
      </c>
      <c r="N3043" s="5">
        <v>45624</v>
      </c>
    </row>
    <row r="3044" spans="1:14" x14ac:dyDescent="0.3">
      <c r="A3044" s="1" t="str">
        <f>"8_563-11/2024/Ц"</f>
        <v>8_563-11/2024/Ц</v>
      </c>
      <c r="B3044" s="6">
        <v>45624</v>
      </c>
      <c r="C3044" s="1" t="str">
        <f>"00038"</f>
        <v>00038</v>
      </c>
      <c r="D304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44" s="1" t="s">
        <v>20</v>
      </c>
      <c r="F3044" s="1" t="str">
        <f t="shared" si="446"/>
        <v>Центр надання адміністративних послуг Рогатинської міської ради</v>
      </c>
      <c r="G3044" s="1" t="str">
        <f t="shared" si="444"/>
        <v>Фізична особа</v>
      </c>
      <c r="H3044" s="1" t="s">
        <v>20</v>
      </c>
      <c r="I3044" s="1" t="s">
        <v>20</v>
      </c>
      <c r="J3044" s="1" t="str">
        <f t="shared" si="445"/>
        <v>Закрито</v>
      </c>
      <c r="K3044" s="5">
        <v>45624</v>
      </c>
      <c r="L3044" s="1" t="s">
        <v>20</v>
      </c>
      <c r="M3044" s="1" t="s">
        <v>22</v>
      </c>
      <c r="N3044" s="5">
        <v>45624</v>
      </c>
    </row>
    <row r="3045" spans="1:14" x14ac:dyDescent="0.3">
      <c r="A3045" s="1" t="str">
        <f>"8_564-11/2024/Ц"</f>
        <v>8_564-11/2024/Ц</v>
      </c>
      <c r="B3045" s="6">
        <v>45624</v>
      </c>
      <c r="C3045" s="1" t="str">
        <f>"00038"</f>
        <v>00038</v>
      </c>
      <c r="D304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45" s="1" t="s">
        <v>20</v>
      </c>
      <c r="F3045" s="1" t="str">
        <f t="shared" si="446"/>
        <v>Центр надання адміністративних послуг Рогатинської міської ради</v>
      </c>
      <c r="G3045" s="1" t="str">
        <f t="shared" si="444"/>
        <v>Фізична особа</v>
      </c>
      <c r="H3045" s="1" t="s">
        <v>20</v>
      </c>
      <c r="I3045" s="1" t="s">
        <v>20</v>
      </c>
      <c r="J3045" s="1" t="str">
        <f t="shared" si="445"/>
        <v>Закрито</v>
      </c>
      <c r="K3045" s="5">
        <v>45624</v>
      </c>
      <c r="L3045" s="1" t="s">
        <v>20</v>
      </c>
      <c r="M3045" s="1" t="s">
        <v>22</v>
      </c>
      <c r="N3045" s="5">
        <v>45624</v>
      </c>
    </row>
    <row r="3046" spans="1:14" x14ac:dyDescent="0.3">
      <c r="A3046" s="1" t="str">
        <f>"33_433-11/2024/Б"</f>
        <v>33_433-11/2024/Б</v>
      </c>
      <c r="B3046" s="6">
        <v>45624</v>
      </c>
      <c r="C3046" s="1" t="str">
        <f>"00103"</f>
        <v>00103</v>
      </c>
      <c r="D3046" s="2" t="s">
        <v>1</v>
      </c>
      <c r="E3046" s="1" t="str">
        <f>"03193413"</f>
        <v>03193413</v>
      </c>
      <c r="F304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46" s="1" t="str">
        <f t="shared" si="444"/>
        <v>Фізична особа</v>
      </c>
      <c r="H3046" s="1" t="s">
        <v>20</v>
      </c>
      <c r="I3046" s="1" t="s">
        <v>20</v>
      </c>
      <c r="J3046" s="1" t="str">
        <f>"На обробці в СНАП"</f>
        <v>На обробці в СНАП</v>
      </c>
      <c r="K3046" s="1" t="s">
        <v>20</v>
      </c>
      <c r="L3046" s="1" t="s">
        <v>20</v>
      </c>
      <c r="M3046" s="1" t="s">
        <v>22</v>
      </c>
      <c r="N3046" s="1" t="s">
        <v>20</v>
      </c>
    </row>
    <row r="3047" spans="1:14" x14ac:dyDescent="0.3">
      <c r="A3047" s="1" t="str">
        <f>"33_434-11/2024/Б"</f>
        <v>33_434-11/2024/Б</v>
      </c>
      <c r="B3047" s="6">
        <v>45624</v>
      </c>
      <c r="C3047" s="1" t="str">
        <f>"33"</f>
        <v>33</v>
      </c>
      <c r="D3047" s="2" t="str">
        <f>"33 Довідки різного характеру"</f>
        <v>33 Довідки різного характеру</v>
      </c>
      <c r="E3047" s="1" t="s">
        <v>20</v>
      </c>
      <c r="F304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47" s="1" t="str">
        <f t="shared" si="444"/>
        <v>Фізична особа</v>
      </c>
      <c r="H3047" s="1" t="s">
        <v>20</v>
      </c>
      <c r="I3047" s="1" t="s">
        <v>20</v>
      </c>
      <c r="J3047" s="1" t="str">
        <f t="shared" ref="J3047:J3053" si="447">"Закрито"</f>
        <v>Закрито</v>
      </c>
      <c r="K3047" s="5">
        <v>45624</v>
      </c>
      <c r="L3047" s="1" t="s">
        <v>20</v>
      </c>
      <c r="M3047" s="1" t="s">
        <v>22</v>
      </c>
      <c r="N3047" s="5">
        <v>45624</v>
      </c>
    </row>
    <row r="3048" spans="1:14" x14ac:dyDescent="0.3">
      <c r="A3048" s="1" t="str">
        <f>"1_6092/2129-11/2024/М"</f>
        <v>1_6092/2129-11/2024/М</v>
      </c>
      <c r="B3048" s="6">
        <v>45624</v>
      </c>
      <c r="C3048" s="1" t="str">
        <f>"00038"</f>
        <v>00038</v>
      </c>
      <c r="D304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48" s="1" t="s">
        <v>20</v>
      </c>
      <c r="F304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48" s="1" t="str">
        <f t="shared" si="444"/>
        <v>Фізична особа</v>
      </c>
      <c r="H3048" s="1" t="s">
        <v>20</v>
      </c>
      <c r="I3048" s="1" t="s">
        <v>20</v>
      </c>
      <c r="J3048" s="1" t="str">
        <f t="shared" si="447"/>
        <v>Закрито</v>
      </c>
      <c r="K3048" s="5">
        <v>45624</v>
      </c>
      <c r="L3048" s="1" t="s">
        <v>20</v>
      </c>
      <c r="M3048" s="1" t="s">
        <v>22</v>
      </c>
      <c r="N3048" s="5">
        <v>45624</v>
      </c>
    </row>
    <row r="3049" spans="1:14" x14ac:dyDescent="0.3">
      <c r="A3049" s="1" t="str">
        <f>"14_1045-11/2024/З"</f>
        <v>14_1045-11/2024/З</v>
      </c>
      <c r="B3049" s="6">
        <v>45624</v>
      </c>
      <c r="C3049" s="1" t="str">
        <f>"01929"</f>
        <v>01929</v>
      </c>
      <c r="D3049" s="2" t="str">
        <f>"Видача довідки про народжених дітей громадянкою та виховання їх до певного віку"</f>
        <v>Видача довідки про народжених дітей громадянкою та виховання їх до певного віку</v>
      </c>
      <c r="E3049" s="1" t="s">
        <v>20</v>
      </c>
      <c r="F304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49" s="1" t="str">
        <f t="shared" si="444"/>
        <v>Фізична особа</v>
      </c>
      <c r="H3049" s="1" t="s">
        <v>20</v>
      </c>
      <c r="I3049" s="1" t="s">
        <v>20</v>
      </c>
      <c r="J3049" s="1" t="str">
        <f t="shared" si="447"/>
        <v>Закрито</v>
      </c>
      <c r="K3049" s="5">
        <v>45624</v>
      </c>
      <c r="L3049" s="1" t="s">
        <v>20</v>
      </c>
      <c r="M3049" s="1" t="s">
        <v>22</v>
      </c>
      <c r="N3049" s="5">
        <v>45624</v>
      </c>
    </row>
    <row r="3050" spans="1:14" x14ac:dyDescent="0.3">
      <c r="A3050" s="1" t="str">
        <f>"30_644-11/2024/Д"</f>
        <v>30_644-11/2024/Д</v>
      </c>
      <c r="B3050" s="6">
        <v>45624</v>
      </c>
      <c r="C3050" s="1" t="str">
        <f>"00038"</f>
        <v>00038</v>
      </c>
      <c r="D305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50" s="1" t="s">
        <v>20</v>
      </c>
      <c r="F305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50" s="1" t="str">
        <f t="shared" si="444"/>
        <v>Фізична особа</v>
      </c>
      <c r="H3050" s="1" t="s">
        <v>20</v>
      </c>
      <c r="I3050" s="1" t="s">
        <v>20</v>
      </c>
      <c r="J3050" s="1" t="str">
        <f t="shared" si="447"/>
        <v>Закрито</v>
      </c>
      <c r="K3050" s="5">
        <v>45624</v>
      </c>
      <c r="L3050" s="1" t="s">
        <v>20</v>
      </c>
      <c r="M3050" s="1" t="s">
        <v>22</v>
      </c>
      <c r="N3050" s="5">
        <v>45624</v>
      </c>
    </row>
    <row r="3051" spans="1:14" x14ac:dyDescent="0.3">
      <c r="A3051" s="1" t="str">
        <f>"23_456-11/2024/Ш"</f>
        <v>23_456-11/2024/Ш</v>
      </c>
      <c r="B3051" s="6">
        <v>45624</v>
      </c>
      <c r="C3051" s="1" t="str">
        <f>"33"</f>
        <v>33</v>
      </c>
      <c r="D3051" s="2" t="str">
        <f>"33 Довідки різного характеру"</f>
        <v>33 Довідки різного характеру</v>
      </c>
      <c r="E3051" s="1" t="s">
        <v>20</v>
      </c>
      <c r="F305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51" s="1" t="str">
        <f t="shared" si="444"/>
        <v>Фізична особа</v>
      </c>
      <c r="H3051" s="1" t="s">
        <v>20</v>
      </c>
      <c r="I3051" s="1" t="s">
        <v>20</v>
      </c>
      <c r="J3051" s="1" t="str">
        <f t="shared" si="447"/>
        <v>Закрито</v>
      </c>
      <c r="K3051" s="5">
        <v>45624</v>
      </c>
      <c r="L3051" s="1" t="s">
        <v>20</v>
      </c>
      <c r="M3051" s="1" t="s">
        <v>22</v>
      </c>
      <c r="N3051" s="5">
        <v>45624</v>
      </c>
    </row>
    <row r="3052" spans="1:14" x14ac:dyDescent="0.3">
      <c r="A3052" s="1" t="str">
        <f>"30_645-11/2024/Д"</f>
        <v>30_645-11/2024/Д</v>
      </c>
      <c r="B3052" s="6">
        <v>45624</v>
      </c>
      <c r="C3052" s="1" t="str">
        <f>"00155"</f>
        <v>00155</v>
      </c>
      <c r="D3052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052" s="1" t="str">
        <f>"03193413"</f>
        <v>03193413</v>
      </c>
      <c r="F305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52" s="1" t="str">
        <f t="shared" si="444"/>
        <v>Фізична особа</v>
      </c>
      <c r="H3052" s="1" t="s">
        <v>20</v>
      </c>
      <c r="I3052" s="1" t="s">
        <v>20</v>
      </c>
      <c r="J3052" s="1" t="str">
        <f t="shared" si="447"/>
        <v>Закрито</v>
      </c>
      <c r="K3052" s="5">
        <v>45653</v>
      </c>
      <c r="L3052" s="1" t="s">
        <v>20</v>
      </c>
      <c r="M3052" s="1" t="s">
        <v>22</v>
      </c>
      <c r="N3052" s="5">
        <v>45653</v>
      </c>
    </row>
    <row r="3053" spans="1:14" x14ac:dyDescent="0.3">
      <c r="A3053" s="1" t="str">
        <f>"30_646-11/2024/Д"</f>
        <v>30_646-11/2024/Д</v>
      </c>
      <c r="B3053" s="6">
        <v>45624</v>
      </c>
      <c r="C3053" s="1" t="str">
        <f>"00038"</f>
        <v>00038</v>
      </c>
      <c r="D305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53" s="1" t="s">
        <v>20</v>
      </c>
      <c r="F3053" s="1" t="str">
        <f t="shared" ref="F3053:F3058" si="448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53" s="1" t="str">
        <f t="shared" si="444"/>
        <v>Фізична особа</v>
      </c>
      <c r="H3053" s="1" t="s">
        <v>20</v>
      </c>
      <c r="I3053" s="1" t="s">
        <v>20</v>
      </c>
      <c r="J3053" s="1" t="str">
        <f t="shared" si="447"/>
        <v>Закрито</v>
      </c>
      <c r="K3053" s="5">
        <v>45624</v>
      </c>
      <c r="L3053" s="1" t="s">
        <v>20</v>
      </c>
      <c r="M3053" s="1" t="s">
        <v>22</v>
      </c>
      <c r="N3053" s="5">
        <v>45624</v>
      </c>
    </row>
    <row r="3054" spans="1:14" x14ac:dyDescent="0.3">
      <c r="A3054" s="1" t="str">
        <f>"33_435-11/2024/Б"</f>
        <v>33_435-11/2024/Б</v>
      </c>
      <c r="B3054" s="6">
        <v>45624</v>
      </c>
      <c r="C3054" s="1" t="str">
        <f>"33"</f>
        <v>33</v>
      </c>
      <c r="D3054" s="2" t="str">
        <f>"33 Довідки різного характеру"</f>
        <v>33 Довідки різного характеру</v>
      </c>
      <c r="E3054" s="1" t="s">
        <v>20</v>
      </c>
      <c r="F3054" s="1" t="str">
        <f t="shared" si="448"/>
        <v>Центр надання адміністративних послуг Рогатинської міської ради</v>
      </c>
      <c r="G3054" s="1" t="str">
        <f t="shared" si="444"/>
        <v>Фізична особа</v>
      </c>
      <c r="H3054" s="1" t="s">
        <v>20</v>
      </c>
      <c r="I3054" s="1" t="s">
        <v>20</v>
      </c>
      <c r="J3054" s="1" t="str">
        <f>"Зареєстрований"</f>
        <v>Зареєстрований</v>
      </c>
      <c r="K3054" s="1" t="s">
        <v>20</v>
      </c>
      <c r="L3054" s="1" t="s">
        <v>20</v>
      </c>
      <c r="M3054" s="1" t="s">
        <v>22</v>
      </c>
      <c r="N3054" s="1" t="s">
        <v>20</v>
      </c>
    </row>
    <row r="3055" spans="1:14" x14ac:dyDescent="0.3">
      <c r="A3055" s="1" t="str">
        <f>"14_1046-11/2024/Д"</f>
        <v>14_1046-11/2024/Д</v>
      </c>
      <c r="B3055" s="6">
        <v>45624</v>
      </c>
      <c r="C3055" s="1" t="str">
        <f>"01841"</f>
        <v>01841</v>
      </c>
      <c r="D3055" s="2" t="str">
        <f>"Видача довідки про реєстрацію та проживання особи станом на 15.04.1991 року"</f>
        <v>Видача довідки про реєстрацію та проживання особи станом на 15.04.1991 року</v>
      </c>
      <c r="E3055" s="1" t="s">
        <v>20</v>
      </c>
      <c r="F3055" s="1" t="str">
        <f t="shared" si="448"/>
        <v>Центр надання адміністративних послуг Рогатинської міської ради</v>
      </c>
      <c r="G3055" s="1" t="str">
        <f t="shared" si="444"/>
        <v>Фізична особа</v>
      </c>
      <c r="H3055" s="1" t="s">
        <v>20</v>
      </c>
      <c r="I3055" s="1" t="s">
        <v>20</v>
      </c>
      <c r="J3055" s="1" t="str">
        <f t="shared" ref="J3055:J3062" si="449">"Закрито"</f>
        <v>Закрито</v>
      </c>
      <c r="K3055" s="5">
        <v>45624</v>
      </c>
      <c r="L3055" s="1" t="s">
        <v>20</v>
      </c>
      <c r="M3055" s="1" t="s">
        <v>22</v>
      </c>
      <c r="N3055" s="5">
        <v>45624</v>
      </c>
    </row>
    <row r="3056" spans="1:14" x14ac:dyDescent="0.3">
      <c r="A3056" s="1" t="str">
        <f>"23_457-11/2024/Ш"</f>
        <v>23_457-11/2024/Ш</v>
      </c>
      <c r="B3056" s="6">
        <v>45624</v>
      </c>
      <c r="C3056" s="1" t="str">
        <f>"00038"</f>
        <v>00038</v>
      </c>
      <c r="D305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56" s="1" t="s">
        <v>20</v>
      </c>
      <c r="F3056" s="1" t="str">
        <f t="shared" si="448"/>
        <v>Центр надання адміністративних послуг Рогатинської міської ради</v>
      </c>
      <c r="G3056" s="1" t="str">
        <f t="shared" si="444"/>
        <v>Фізична особа</v>
      </c>
      <c r="H3056" s="1" t="s">
        <v>20</v>
      </c>
      <c r="I3056" s="1" t="s">
        <v>20</v>
      </c>
      <c r="J3056" s="1" t="str">
        <f t="shared" si="449"/>
        <v>Закрито</v>
      </c>
      <c r="K3056" s="5">
        <v>45624</v>
      </c>
      <c r="L3056" s="1" t="s">
        <v>20</v>
      </c>
      <c r="M3056" s="1" t="s">
        <v>22</v>
      </c>
      <c r="N3056" s="5">
        <v>45624</v>
      </c>
    </row>
    <row r="3057" spans="1:14" x14ac:dyDescent="0.3">
      <c r="A3057" s="1" t="str">
        <f>"30_647-11/2024/К"</f>
        <v>30_647-11/2024/К</v>
      </c>
      <c r="B3057" s="6">
        <v>45624</v>
      </c>
      <c r="C3057" s="1" t="str">
        <f>"00038"</f>
        <v>00038</v>
      </c>
      <c r="D305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57" s="1" t="s">
        <v>20</v>
      </c>
      <c r="F3057" s="1" t="str">
        <f t="shared" si="448"/>
        <v>Центр надання адміністративних послуг Рогатинської міської ради</v>
      </c>
      <c r="G3057" s="1" t="str">
        <f t="shared" si="444"/>
        <v>Фізична особа</v>
      </c>
      <c r="H3057" s="1" t="s">
        <v>20</v>
      </c>
      <c r="I3057" s="1" t="s">
        <v>20</v>
      </c>
      <c r="J3057" s="1" t="str">
        <f t="shared" si="449"/>
        <v>Закрито</v>
      </c>
      <c r="K3057" s="5">
        <v>45624</v>
      </c>
      <c r="L3057" s="1" t="s">
        <v>20</v>
      </c>
      <c r="M3057" s="1" t="s">
        <v>22</v>
      </c>
      <c r="N3057" s="5">
        <v>45624</v>
      </c>
    </row>
    <row r="3058" spans="1:14" x14ac:dyDescent="0.3">
      <c r="A3058" s="1" t="str">
        <f>"30_648-11/2024/Д"</f>
        <v>30_648-11/2024/Д</v>
      </c>
      <c r="B3058" s="6">
        <v>45624</v>
      </c>
      <c r="C3058" s="1" t="str">
        <f>"33"</f>
        <v>33</v>
      </c>
      <c r="D3058" s="2" t="str">
        <f>"33 Довідки різного характеру"</f>
        <v>33 Довідки різного характеру</v>
      </c>
      <c r="E3058" s="1" t="s">
        <v>20</v>
      </c>
      <c r="F3058" s="1" t="str">
        <f t="shared" si="448"/>
        <v>Центр надання адміністративних послуг Рогатинської міської ради</v>
      </c>
      <c r="G3058" s="1" t="str">
        <f t="shared" si="444"/>
        <v>Фізична особа</v>
      </c>
      <c r="H3058" s="1" t="s">
        <v>20</v>
      </c>
      <c r="I3058" s="1" t="s">
        <v>20</v>
      </c>
      <c r="J3058" s="1" t="str">
        <f t="shared" si="449"/>
        <v>Закрито</v>
      </c>
      <c r="K3058" s="5">
        <v>45624</v>
      </c>
      <c r="L3058" s="1" t="s">
        <v>20</v>
      </c>
      <c r="M3058" s="1" t="s">
        <v>22</v>
      </c>
      <c r="N3058" s="5">
        <v>45624</v>
      </c>
    </row>
    <row r="3059" spans="1:14" x14ac:dyDescent="0.3">
      <c r="A3059" s="1" t="str">
        <f>"23_458-11/2024/С"</f>
        <v>23_458-11/2024/С</v>
      </c>
      <c r="B3059" s="6">
        <v>45624</v>
      </c>
      <c r="C3059" s="1" t="str">
        <f>"00064"</f>
        <v>00064</v>
      </c>
      <c r="D3059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3059" s="1" t="s">
        <v>20</v>
      </c>
      <c r="F3059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059" s="1" t="str">
        <f t="shared" si="444"/>
        <v>Фізична особа</v>
      </c>
      <c r="H3059" s="1" t="s">
        <v>20</v>
      </c>
      <c r="I3059" s="1" t="s">
        <v>20</v>
      </c>
      <c r="J3059" s="1" t="str">
        <f t="shared" si="449"/>
        <v>Закрито</v>
      </c>
      <c r="K3059" s="5">
        <v>45624</v>
      </c>
      <c r="L3059" s="1" t="s">
        <v>20</v>
      </c>
      <c r="M3059" s="1" t="s">
        <v>22</v>
      </c>
      <c r="N3059" s="5">
        <v>45624</v>
      </c>
    </row>
    <row r="3060" spans="1:14" x14ac:dyDescent="0.3">
      <c r="A3060" s="1" t="str">
        <f>"30_649-11/2024/К"</f>
        <v>30_649-11/2024/К</v>
      </c>
      <c r="B3060" s="6">
        <v>45624</v>
      </c>
      <c r="C3060" s="1" t="str">
        <f>"33"</f>
        <v>33</v>
      </c>
      <c r="D3060" s="2" t="str">
        <f>"33 Довідки різного характеру"</f>
        <v>33 Довідки різного характеру</v>
      </c>
      <c r="E3060" s="1" t="s">
        <v>20</v>
      </c>
      <c r="F306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60" s="1" t="str">
        <f t="shared" si="444"/>
        <v>Фізична особа</v>
      </c>
      <c r="H3060" s="1" t="s">
        <v>20</v>
      </c>
      <c r="I3060" s="1" t="s">
        <v>20</v>
      </c>
      <c r="J3060" s="1" t="str">
        <f t="shared" si="449"/>
        <v>Закрито</v>
      </c>
      <c r="K3060" s="5">
        <v>45624</v>
      </c>
      <c r="L3060" s="1" t="s">
        <v>20</v>
      </c>
      <c r="M3060" s="1" t="s">
        <v>22</v>
      </c>
      <c r="N3060" s="5">
        <v>45624</v>
      </c>
    </row>
    <row r="3061" spans="1:14" x14ac:dyDescent="0.3">
      <c r="A3061" s="1" t="str">
        <f>"23_459-11/2024/С"</f>
        <v>23_459-11/2024/С</v>
      </c>
      <c r="B3061" s="6">
        <v>45624</v>
      </c>
      <c r="C3061" s="1" t="str">
        <f>"00038"</f>
        <v>00038</v>
      </c>
      <c r="D306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61" s="1" t="s">
        <v>20</v>
      </c>
      <c r="F306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61" s="1" t="str">
        <f t="shared" si="444"/>
        <v>Фізична особа</v>
      </c>
      <c r="H3061" s="1" t="s">
        <v>20</v>
      </c>
      <c r="I3061" s="1" t="s">
        <v>20</v>
      </c>
      <c r="J3061" s="1" t="str">
        <f t="shared" si="449"/>
        <v>Закрито</v>
      </c>
      <c r="K3061" s="5">
        <v>45624</v>
      </c>
      <c r="L3061" s="1" t="s">
        <v>20</v>
      </c>
      <c r="M3061" s="1" t="s">
        <v>22</v>
      </c>
      <c r="N3061" s="5">
        <v>45624</v>
      </c>
    </row>
    <row r="3062" spans="1:14" x14ac:dyDescent="0.3">
      <c r="A3062" s="1" t="str">
        <f>"30_650-11/2024/К"</f>
        <v>30_650-11/2024/К</v>
      </c>
      <c r="B3062" s="6">
        <v>45624</v>
      </c>
      <c r="C3062" s="1" t="str">
        <f>"00155"</f>
        <v>00155</v>
      </c>
      <c r="D3062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062" s="1" t="str">
        <f>"03193413"</f>
        <v>03193413</v>
      </c>
      <c r="F3062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62" s="1" t="str">
        <f t="shared" si="444"/>
        <v>Фізична особа</v>
      </c>
      <c r="H3062" s="1" t="s">
        <v>20</v>
      </c>
      <c r="I3062" s="1" t="s">
        <v>20</v>
      </c>
      <c r="J3062" s="1" t="str">
        <f t="shared" si="449"/>
        <v>Закрито</v>
      </c>
      <c r="K3062" s="5">
        <v>45653</v>
      </c>
      <c r="L3062" s="1" t="s">
        <v>20</v>
      </c>
      <c r="M3062" s="1" t="s">
        <v>22</v>
      </c>
      <c r="N3062" s="5">
        <v>45653</v>
      </c>
    </row>
    <row r="3063" spans="1:14" x14ac:dyDescent="0.3">
      <c r="A3063" s="1" t="str">
        <f>"4_1039-11/2024/Г"</f>
        <v>4_1039-11/2024/Г</v>
      </c>
      <c r="B3063" s="6">
        <v>45624</v>
      </c>
      <c r="C3063" s="1" t="str">
        <f>"00155"</f>
        <v>00155</v>
      </c>
      <c r="D3063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063" s="1" t="str">
        <f>"03193413"</f>
        <v>03193413</v>
      </c>
      <c r="F306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63" s="1" t="str">
        <f t="shared" si="444"/>
        <v>Фізична особа</v>
      </c>
      <c r="H3063" s="1" t="s">
        <v>20</v>
      </c>
      <c r="I3063" s="1" t="s">
        <v>20</v>
      </c>
      <c r="J3063" s="1" t="str">
        <f>"Заявника сповіщено про результат"</f>
        <v>Заявника сповіщено про результат</v>
      </c>
      <c r="K3063" s="5">
        <v>45634</v>
      </c>
      <c r="L3063" s="1" t="s">
        <v>20</v>
      </c>
      <c r="M3063" s="1" t="s">
        <v>22</v>
      </c>
      <c r="N3063" s="5">
        <v>45637</v>
      </c>
    </row>
    <row r="3064" spans="1:14" x14ac:dyDescent="0.3">
      <c r="A3064" s="1" t="str">
        <f>"30_651-11/2024/С"</f>
        <v>30_651-11/2024/С</v>
      </c>
      <c r="B3064" s="6">
        <v>45624</v>
      </c>
      <c r="C3064" s="1" t="str">
        <f>"00034"</f>
        <v>00034</v>
      </c>
      <c r="D3064" s="2" t="str">
        <f>"Реєстрація місця проживання"</f>
        <v>Реєстрація місця проживання</v>
      </c>
      <c r="E3064" s="1" t="s">
        <v>20</v>
      </c>
      <c r="F306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64" s="1" t="str">
        <f t="shared" si="444"/>
        <v>Фізична особа</v>
      </c>
      <c r="H3064" s="1" t="s">
        <v>20</v>
      </c>
      <c r="I3064" s="1" t="s">
        <v>20</v>
      </c>
      <c r="J3064" s="1" t="str">
        <f t="shared" ref="J3064:J3072" si="450">"Закрито"</f>
        <v>Закрито</v>
      </c>
      <c r="K3064" s="1" t="s">
        <v>20</v>
      </c>
      <c r="L3064" s="1" t="s">
        <v>20</v>
      </c>
      <c r="M3064" s="1" t="s">
        <v>22</v>
      </c>
      <c r="N3064" s="1" t="s">
        <v>20</v>
      </c>
    </row>
    <row r="3065" spans="1:14" x14ac:dyDescent="0.3">
      <c r="A3065" s="1" t="str">
        <f>"5_509-11/2024/Ж"</f>
        <v>5_509-11/2024/Ж</v>
      </c>
      <c r="B3065" s="6">
        <v>45624</v>
      </c>
      <c r="C3065" s="1" t="str">
        <f>"00155"</f>
        <v>00155</v>
      </c>
      <c r="D3065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065" s="1" t="str">
        <f>"03193413"</f>
        <v>03193413</v>
      </c>
      <c r="F306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65" s="1" t="str">
        <f t="shared" si="444"/>
        <v>Фізична особа</v>
      </c>
      <c r="H3065" s="1" t="s">
        <v>20</v>
      </c>
      <c r="I3065" s="1" t="s">
        <v>20</v>
      </c>
      <c r="J3065" s="1" t="str">
        <f t="shared" si="450"/>
        <v>Закрито</v>
      </c>
      <c r="K3065" s="5">
        <v>45631</v>
      </c>
      <c r="L3065" s="1" t="s">
        <v>20</v>
      </c>
      <c r="M3065" s="1" t="s">
        <v>22</v>
      </c>
      <c r="N3065" s="5">
        <v>45641</v>
      </c>
    </row>
    <row r="3066" spans="1:14" x14ac:dyDescent="0.3">
      <c r="A3066" s="1" t="str">
        <f>"28_675-11/2024/К"</f>
        <v>28_675-11/2024/К</v>
      </c>
      <c r="B3066" s="6">
        <v>45624</v>
      </c>
      <c r="C3066" s="1" t="str">
        <f>"00038"</f>
        <v>00038</v>
      </c>
      <c r="D306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66" s="1" t="s">
        <v>20</v>
      </c>
      <c r="F306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66" s="1" t="str">
        <f t="shared" si="444"/>
        <v>Фізична особа</v>
      </c>
      <c r="H3066" s="1" t="s">
        <v>20</v>
      </c>
      <c r="I3066" s="1" t="s">
        <v>20</v>
      </c>
      <c r="J3066" s="1" t="str">
        <f t="shared" si="450"/>
        <v>Закрито</v>
      </c>
      <c r="K3066" s="5">
        <v>45624</v>
      </c>
      <c r="L3066" s="1" t="s">
        <v>20</v>
      </c>
      <c r="M3066" s="1" t="s">
        <v>22</v>
      </c>
      <c r="N3066" s="5">
        <v>45624</v>
      </c>
    </row>
    <row r="3067" spans="1:14" x14ac:dyDescent="0.3">
      <c r="A3067" s="1" t="str">
        <f>"25_450-11/2024/К"</f>
        <v>25_450-11/2024/К</v>
      </c>
      <c r="B3067" s="6">
        <v>45624</v>
      </c>
      <c r="C3067" s="1" t="str">
        <f>"00038"</f>
        <v>00038</v>
      </c>
      <c r="D306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67" s="1" t="s">
        <v>20</v>
      </c>
      <c r="F306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67" s="1" t="str">
        <f t="shared" si="444"/>
        <v>Фізична особа</v>
      </c>
      <c r="H3067" s="1" t="s">
        <v>20</v>
      </c>
      <c r="I3067" s="1" t="s">
        <v>20</v>
      </c>
      <c r="J3067" s="1" t="str">
        <f t="shared" si="450"/>
        <v>Закрито</v>
      </c>
      <c r="K3067" s="5">
        <v>45624</v>
      </c>
      <c r="L3067" s="1" t="s">
        <v>20</v>
      </c>
      <c r="M3067" s="1" t="s">
        <v>22</v>
      </c>
      <c r="N3067" s="5">
        <v>45624</v>
      </c>
    </row>
    <row r="3068" spans="1:14" x14ac:dyDescent="0.3">
      <c r="A3068" s="1" t="str">
        <f>"25_451-11/2024/К"</f>
        <v>25_451-11/2024/К</v>
      </c>
      <c r="B3068" s="6">
        <v>45624</v>
      </c>
      <c r="C3068" s="1" t="str">
        <f>"00064"</f>
        <v>00064</v>
      </c>
      <c r="D3068" s="2" t="str">
        <f>"Надання довідки про наявність та розмір земельної частки (паю)"</f>
        <v>Надання довідки про наявність та розмір земельної частки (паю)</v>
      </c>
      <c r="E3068" s="1" t="s">
        <v>20</v>
      </c>
      <c r="F3068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068" s="1" t="str">
        <f t="shared" si="444"/>
        <v>Фізична особа</v>
      </c>
      <c r="H3068" s="1" t="s">
        <v>20</v>
      </c>
      <c r="I3068" s="1" t="s">
        <v>20</v>
      </c>
      <c r="J3068" s="1" t="str">
        <f t="shared" si="450"/>
        <v>Закрито</v>
      </c>
      <c r="K3068" s="5">
        <v>45624</v>
      </c>
      <c r="L3068" s="1" t="s">
        <v>20</v>
      </c>
      <c r="M3068" s="1" t="s">
        <v>22</v>
      </c>
      <c r="N3068" s="5">
        <v>45624</v>
      </c>
    </row>
    <row r="3069" spans="1:14" x14ac:dyDescent="0.3">
      <c r="A3069" s="1" t="str">
        <f>"25_452-11/2024/К"</f>
        <v>25_452-11/2024/К</v>
      </c>
      <c r="B3069" s="6">
        <v>45624</v>
      </c>
      <c r="C3069" s="1" t="str">
        <f>"00155"</f>
        <v>00155</v>
      </c>
      <c r="D3069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069" s="1" t="str">
        <f>"03193413"</f>
        <v>03193413</v>
      </c>
      <c r="F306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69" s="1" t="str">
        <f t="shared" si="444"/>
        <v>Фізична особа</v>
      </c>
      <c r="H3069" s="1" t="s">
        <v>20</v>
      </c>
      <c r="I3069" s="1" t="s">
        <v>20</v>
      </c>
      <c r="J3069" s="1" t="str">
        <f t="shared" si="450"/>
        <v>Закрито</v>
      </c>
      <c r="K3069" s="5">
        <v>45632</v>
      </c>
      <c r="L3069" s="1" t="s">
        <v>20</v>
      </c>
      <c r="M3069" s="1" t="s">
        <v>22</v>
      </c>
      <c r="N3069" s="5">
        <v>45632</v>
      </c>
    </row>
    <row r="3070" spans="1:14" x14ac:dyDescent="0.3">
      <c r="A3070" s="1" t="str">
        <f>"28_676-11/2024/К"</f>
        <v>28_676-11/2024/К</v>
      </c>
      <c r="B3070" s="6">
        <v>45625</v>
      </c>
      <c r="C3070" s="1" t="str">
        <f>"33"</f>
        <v>33</v>
      </c>
      <c r="D3070" s="2" t="str">
        <f>"33 Довідки різного характеру"</f>
        <v>33 Довідки різного характеру</v>
      </c>
      <c r="E3070" s="1" t="s">
        <v>20</v>
      </c>
      <c r="F307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70" s="1" t="str">
        <f t="shared" si="444"/>
        <v>Фізична особа</v>
      </c>
      <c r="H3070" s="1" t="s">
        <v>20</v>
      </c>
      <c r="I3070" s="1" t="s">
        <v>20</v>
      </c>
      <c r="J3070" s="1" t="str">
        <f t="shared" si="450"/>
        <v>Закрито</v>
      </c>
      <c r="K3070" s="5">
        <v>45625</v>
      </c>
      <c r="L3070" s="1" t="s">
        <v>20</v>
      </c>
      <c r="M3070" s="1" t="s">
        <v>22</v>
      </c>
      <c r="N3070" s="5">
        <v>45625</v>
      </c>
    </row>
    <row r="3071" spans="1:14" x14ac:dyDescent="0.3">
      <c r="A3071" s="1" t="str">
        <f>"26_395-11/2024/М"</f>
        <v>26_395-11/2024/М</v>
      </c>
      <c r="B3071" s="6">
        <v>45625</v>
      </c>
      <c r="C3071" s="1" t="str">
        <f>"00038"</f>
        <v>00038</v>
      </c>
      <c r="D307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71" s="1" t="s">
        <v>20</v>
      </c>
      <c r="F3071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71" s="1" t="str">
        <f t="shared" si="444"/>
        <v>Фізична особа</v>
      </c>
      <c r="H3071" s="1" t="s">
        <v>20</v>
      </c>
      <c r="I3071" s="1" t="s">
        <v>20</v>
      </c>
      <c r="J3071" s="1" t="str">
        <f t="shared" si="450"/>
        <v>Закрито</v>
      </c>
      <c r="K3071" s="5">
        <v>45625</v>
      </c>
      <c r="L3071" s="1" t="s">
        <v>20</v>
      </c>
      <c r="M3071" s="1" t="s">
        <v>22</v>
      </c>
      <c r="N3071" s="5">
        <v>45625</v>
      </c>
    </row>
    <row r="3072" spans="1:14" x14ac:dyDescent="0.3">
      <c r="A3072" s="1" t="str">
        <f>"28_677-11/2024/К"</f>
        <v>28_677-11/2024/К</v>
      </c>
      <c r="B3072" s="6">
        <v>45625</v>
      </c>
      <c r="C3072" s="1" t="str">
        <f>"33"</f>
        <v>33</v>
      </c>
      <c r="D3072" s="2" t="str">
        <f>"33 Довідки різного характеру"</f>
        <v>33 Довідки різного характеру</v>
      </c>
      <c r="E3072" s="1" t="s">
        <v>20</v>
      </c>
      <c r="F307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72" s="1" t="str">
        <f t="shared" si="444"/>
        <v>Фізична особа</v>
      </c>
      <c r="H3072" s="1" t="s">
        <v>20</v>
      </c>
      <c r="I3072" s="1" t="s">
        <v>20</v>
      </c>
      <c r="J3072" s="1" t="str">
        <f t="shared" si="450"/>
        <v>Закрито</v>
      </c>
      <c r="K3072" s="5">
        <v>45625</v>
      </c>
      <c r="L3072" s="1" t="s">
        <v>20</v>
      </c>
      <c r="M3072" s="1" t="s">
        <v>22</v>
      </c>
      <c r="N3072" s="5">
        <v>45625</v>
      </c>
    </row>
    <row r="3073" spans="1:14" x14ac:dyDescent="0.3">
      <c r="A3073" s="1" t="str">
        <f>"9_1738/04054323-11/2024/Б"</f>
        <v>9_1738/04054323-11/2024/Б</v>
      </c>
      <c r="B3073" s="6">
        <v>45625</v>
      </c>
      <c r="C3073" s="1" t="str">
        <f>"01-1"</f>
        <v>01-1</v>
      </c>
      <c r="D3073" s="2" t="s">
        <v>0</v>
      </c>
      <c r="E3073" s="1" t="str">
        <f>"04054323"</f>
        <v>04054323</v>
      </c>
      <c r="F3073" s="1" t="str">
        <f>"Рогатинська міська рада"</f>
        <v>Рогатинська міська рада</v>
      </c>
      <c r="G3073" s="1" t="str">
        <f t="shared" si="444"/>
        <v>Фізична особа</v>
      </c>
      <c r="H3073" s="1" t="s">
        <v>20</v>
      </c>
      <c r="I3073" s="1" t="s">
        <v>20</v>
      </c>
      <c r="J3073" s="1" t="str">
        <f>"На обробці в СНАП"</f>
        <v>На обробці в СНАП</v>
      </c>
      <c r="K3073" s="1" t="s">
        <v>20</v>
      </c>
      <c r="L3073" s="1" t="s">
        <v>20</v>
      </c>
      <c r="M3073" s="1" t="s">
        <v>22</v>
      </c>
      <c r="N3073" s="1" t="s">
        <v>20</v>
      </c>
    </row>
    <row r="3074" spans="1:14" x14ac:dyDescent="0.3">
      <c r="A3074" s="1" t="str">
        <f>"9_1739/04054323-11/2024/Б"</f>
        <v>9_1739/04054323-11/2024/Б</v>
      </c>
      <c r="B3074" s="6">
        <v>45625</v>
      </c>
      <c r="C3074" s="1" t="str">
        <f>"01"</f>
        <v>01</v>
      </c>
      <c r="D3074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3074" s="1" t="str">
        <f>"04054323"</f>
        <v>04054323</v>
      </c>
      <c r="F3074" s="1" t="str">
        <f>"Рогатинська міська рада"</f>
        <v>Рогатинська міська рада</v>
      </c>
      <c r="G3074" s="1" t="str">
        <f t="shared" si="444"/>
        <v>Фізична особа</v>
      </c>
      <c r="H3074" s="1" t="s">
        <v>20</v>
      </c>
      <c r="I3074" s="1" t="s">
        <v>20</v>
      </c>
      <c r="J3074" s="1" t="str">
        <f>"На обробці в СНАП"</f>
        <v>На обробці в СНАП</v>
      </c>
      <c r="K3074" s="1" t="s">
        <v>20</v>
      </c>
      <c r="L3074" s="1" t="s">
        <v>20</v>
      </c>
      <c r="M3074" s="1" t="s">
        <v>22</v>
      </c>
      <c r="N3074" s="1" t="s">
        <v>20</v>
      </c>
    </row>
    <row r="3075" spans="1:14" x14ac:dyDescent="0.3">
      <c r="A3075" s="1" t="str">
        <f>"3_889-11/2024/Д"</f>
        <v>3_889-11/2024/Д</v>
      </c>
      <c r="B3075" s="6">
        <v>45625</v>
      </c>
      <c r="C3075" s="1" t="str">
        <f>"33"</f>
        <v>33</v>
      </c>
      <c r="D3075" s="2" t="str">
        <f>"33 Довідки різного характеру"</f>
        <v>33 Довідки різного характеру</v>
      </c>
      <c r="E3075" s="1" t="s">
        <v>20</v>
      </c>
      <c r="F30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75" s="1" t="str">
        <f t="shared" si="444"/>
        <v>Фізична особа</v>
      </c>
      <c r="H3075" s="1" t="s">
        <v>20</v>
      </c>
      <c r="I3075" s="1" t="s">
        <v>20</v>
      </c>
      <c r="J3075" s="1" t="str">
        <f>"Закрито"</f>
        <v>Закрито</v>
      </c>
      <c r="K3075" s="5">
        <v>45625</v>
      </c>
      <c r="L3075" s="1" t="s">
        <v>20</v>
      </c>
      <c r="M3075" s="1" t="s">
        <v>22</v>
      </c>
      <c r="N3075" s="5">
        <v>45625</v>
      </c>
    </row>
    <row r="3076" spans="1:14" x14ac:dyDescent="0.3">
      <c r="A3076" s="1" t="str">
        <f>"9_1740/04054323-11/2024/Л"</f>
        <v>9_1740/04054323-11/2024/Л</v>
      </c>
      <c r="B3076" s="6">
        <v>45625</v>
      </c>
      <c r="C3076" s="1" t="str">
        <f>"01"</f>
        <v>01</v>
      </c>
      <c r="D3076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3076" s="1" t="str">
        <f>"04054323"</f>
        <v>04054323</v>
      </c>
      <c r="F3076" s="1" t="str">
        <f>"Рогатинська міська рада"</f>
        <v>Рогатинська міська рада</v>
      </c>
      <c r="G3076" s="1" t="str">
        <f t="shared" si="444"/>
        <v>Фізична особа</v>
      </c>
      <c r="H3076" s="1" t="s">
        <v>20</v>
      </c>
      <c r="I3076" s="1" t="s">
        <v>20</v>
      </c>
      <c r="J3076" s="1" t="str">
        <f>"На обробці в СНАП"</f>
        <v>На обробці в СНАП</v>
      </c>
      <c r="K3076" s="1" t="s">
        <v>20</v>
      </c>
      <c r="L3076" s="1" t="s">
        <v>20</v>
      </c>
      <c r="M3076" s="1" t="s">
        <v>22</v>
      </c>
      <c r="N3076" s="1" t="s">
        <v>20</v>
      </c>
    </row>
    <row r="3077" spans="1:14" x14ac:dyDescent="0.3">
      <c r="A3077" s="1" t="str">
        <f>"1_6093/2129-11/2024/Х"</f>
        <v>1_6093/2129-11/2024/Х</v>
      </c>
      <c r="B3077" s="6">
        <v>45625</v>
      </c>
      <c r="C3077" s="1" t="str">
        <f>"00038"</f>
        <v>00038</v>
      </c>
      <c r="D307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77" s="1" t="s">
        <v>20</v>
      </c>
      <c r="F3077" s="1" t="str">
        <f t="shared" ref="F3077:F3087" si="45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77" s="1" t="str">
        <f t="shared" si="444"/>
        <v>Фізична особа</v>
      </c>
      <c r="H3077" s="1" t="s">
        <v>20</v>
      </c>
      <c r="I3077" s="1" t="s">
        <v>20</v>
      </c>
      <c r="J3077" s="1" t="str">
        <f t="shared" ref="J3077:J3112" si="452">"Закрито"</f>
        <v>Закрито</v>
      </c>
      <c r="K3077" s="5">
        <v>45625</v>
      </c>
      <c r="L3077" s="1" t="s">
        <v>20</v>
      </c>
      <c r="M3077" s="1" t="s">
        <v>22</v>
      </c>
      <c r="N3077" s="5">
        <v>45625</v>
      </c>
    </row>
    <row r="3078" spans="1:14" x14ac:dyDescent="0.3">
      <c r="A3078" s="1" t="str">
        <f>"28_678-11/2024/К"</f>
        <v>28_678-11/2024/К</v>
      </c>
      <c r="B3078" s="6">
        <v>45625</v>
      </c>
      <c r="C3078" s="1" t="str">
        <f>"33"</f>
        <v>33</v>
      </c>
      <c r="D3078" s="2" t="str">
        <f>"33 Довідки різного характеру"</f>
        <v>33 Довідки різного характеру</v>
      </c>
      <c r="E3078" s="1" t="s">
        <v>20</v>
      </c>
      <c r="F3078" s="1" t="str">
        <f t="shared" si="451"/>
        <v>Центр надання адміністративних послуг Рогатинської міської ради</v>
      </c>
      <c r="G3078" s="1" t="str">
        <f t="shared" si="444"/>
        <v>Фізична особа</v>
      </c>
      <c r="H3078" s="1" t="s">
        <v>20</v>
      </c>
      <c r="I3078" s="1" t="s">
        <v>20</v>
      </c>
      <c r="J3078" s="1" t="str">
        <f t="shared" si="452"/>
        <v>Закрито</v>
      </c>
      <c r="K3078" s="5">
        <v>45625</v>
      </c>
      <c r="L3078" s="1" t="s">
        <v>20</v>
      </c>
      <c r="M3078" s="1" t="s">
        <v>22</v>
      </c>
      <c r="N3078" s="5">
        <v>45625</v>
      </c>
    </row>
    <row r="3079" spans="1:14" x14ac:dyDescent="0.3">
      <c r="A3079" s="1" t="str">
        <f>"28_679-11/2024/Н"</f>
        <v>28_679-11/2024/Н</v>
      </c>
      <c r="B3079" s="6">
        <v>45625</v>
      </c>
      <c r="C3079" s="1" t="str">
        <f>"33"</f>
        <v>33</v>
      </c>
      <c r="D3079" s="2" t="str">
        <f>"33 Довідки різного характеру"</f>
        <v>33 Довідки різного характеру</v>
      </c>
      <c r="E3079" s="1" t="s">
        <v>20</v>
      </c>
      <c r="F3079" s="1" t="str">
        <f t="shared" si="451"/>
        <v>Центр надання адміністративних послуг Рогатинської міської ради</v>
      </c>
      <c r="G3079" s="1" t="str">
        <f t="shared" si="444"/>
        <v>Фізична особа</v>
      </c>
      <c r="H3079" s="1" t="s">
        <v>20</v>
      </c>
      <c r="I3079" s="1" t="s">
        <v>20</v>
      </c>
      <c r="J3079" s="1" t="str">
        <f t="shared" si="452"/>
        <v>Закрито</v>
      </c>
      <c r="K3079" s="5">
        <v>45625</v>
      </c>
      <c r="L3079" s="1" t="s">
        <v>20</v>
      </c>
      <c r="M3079" s="1" t="s">
        <v>22</v>
      </c>
      <c r="N3079" s="5">
        <v>45625</v>
      </c>
    </row>
    <row r="3080" spans="1:14" x14ac:dyDescent="0.3">
      <c r="A3080" s="1" t="str">
        <f>"5_519/2129-11/2024/C"</f>
        <v>5_519/2129-11/2024/C</v>
      </c>
      <c r="B3080" s="6">
        <v>45625</v>
      </c>
      <c r="C3080" s="1" t="str">
        <f>"00054"</f>
        <v>00054</v>
      </c>
      <c r="D3080" s="2" t="s">
        <v>2</v>
      </c>
      <c r="E3080" s="1" t="s">
        <v>20</v>
      </c>
      <c r="F3080" s="1" t="str">
        <f t="shared" si="451"/>
        <v>Центр надання адміністративних послуг Рогатинської міської ради</v>
      </c>
      <c r="G3080" s="1" t="str">
        <f>"Юридична особа"</f>
        <v>Юридична особа</v>
      </c>
      <c r="H3080" s="1" t="str">
        <f>"CЕЛЯНСЬКО-ФЕРМЕРСЬКЕ ГОСПОДАРСТВО ""ЛЕН-ПРОМ"""</f>
        <v>CЕЛЯНСЬКО-ФЕРМЕРСЬКЕ ГОСПОДАРСТВО "ЛЕН-ПРОМ"</v>
      </c>
      <c r="I3080" s="1" t="str">
        <f>"32355412"</f>
        <v>32355412</v>
      </c>
      <c r="J3080" s="1" t="str">
        <f t="shared" si="452"/>
        <v>Закрито</v>
      </c>
      <c r="K3080" s="5">
        <v>45625</v>
      </c>
      <c r="L3080" s="1" t="str">
        <f>"910.0"</f>
        <v>910.0</v>
      </c>
      <c r="M3080" s="1" t="s">
        <v>22</v>
      </c>
      <c r="N3080" s="5">
        <v>45625</v>
      </c>
    </row>
    <row r="3081" spans="1:14" x14ac:dyDescent="0.3">
      <c r="A3081" s="1" t="str">
        <f>"5_520/2129-11/2024/C"</f>
        <v>5_520/2129-11/2024/C</v>
      </c>
      <c r="B3081" s="6">
        <v>45625</v>
      </c>
      <c r="C3081" s="1" t="str">
        <f>"01179"</f>
        <v>01179</v>
      </c>
      <c r="D3081" s="2" t="str">
        <f>"Виправлення помилок, допущених у відомостях Єдиного державного реєстру юридичних осіб, фізичних осіб – підприємців та громадських формувань"</f>
        <v>Виправлення помилок, допущених у відомостях Єдиного державного реєстру юридичних осіб, фізичних осіб – підприємців та громадських формувань</v>
      </c>
      <c r="E3081" s="1" t="s">
        <v>20</v>
      </c>
      <c r="F3081" s="1" t="str">
        <f t="shared" si="451"/>
        <v>Центр надання адміністративних послуг Рогатинської міської ради</v>
      </c>
      <c r="G3081" s="1" t="str">
        <f>"Юридична особа"</f>
        <v>Юридична особа</v>
      </c>
      <c r="H3081" s="1" t="str">
        <f>"CЕЛЯНСЬКО-ФЕРМЕРСЬКЕ ГОСПОДАРСТВО ""ЛЕН-ПРОМ"""</f>
        <v>CЕЛЯНСЬКО-ФЕРМЕРСЬКЕ ГОСПОДАРСТВО "ЛЕН-ПРОМ"</v>
      </c>
      <c r="I3081" s="1" t="str">
        <f>"32355412"</f>
        <v>32355412</v>
      </c>
      <c r="J3081" s="1" t="str">
        <f t="shared" si="452"/>
        <v>Закрито</v>
      </c>
      <c r="K3081" s="5">
        <v>45625</v>
      </c>
      <c r="L3081" s="1" t="s">
        <v>20</v>
      </c>
      <c r="M3081" s="1" t="s">
        <v>22</v>
      </c>
      <c r="N3081" s="5">
        <v>45625</v>
      </c>
    </row>
    <row r="3082" spans="1:14" x14ac:dyDescent="0.3">
      <c r="A3082" s="1" t="str">
        <f>"28_680-11/2024/Н"</f>
        <v>28_680-11/2024/Н</v>
      </c>
      <c r="B3082" s="6">
        <v>45625</v>
      </c>
      <c r="C3082" s="1" t="str">
        <f>"33"</f>
        <v>33</v>
      </c>
      <c r="D3082" s="2" t="str">
        <f>"33 Довідки різного характеру"</f>
        <v>33 Довідки різного характеру</v>
      </c>
      <c r="E3082" s="1" t="s">
        <v>20</v>
      </c>
      <c r="F3082" s="1" t="str">
        <f t="shared" si="451"/>
        <v>Центр надання адміністративних послуг Рогатинської міської ради</v>
      </c>
      <c r="G3082" s="1" t="str">
        <f>"Фізична особа"</f>
        <v>Фізична особа</v>
      </c>
      <c r="H3082" s="1" t="s">
        <v>20</v>
      </c>
      <c r="I3082" s="1" t="s">
        <v>20</v>
      </c>
      <c r="J3082" s="1" t="str">
        <f t="shared" si="452"/>
        <v>Закрито</v>
      </c>
      <c r="K3082" s="5">
        <v>45625</v>
      </c>
      <c r="L3082" s="1" t="s">
        <v>20</v>
      </c>
      <c r="M3082" s="1" t="s">
        <v>22</v>
      </c>
      <c r="N3082" s="5">
        <v>45625</v>
      </c>
    </row>
    <row r="3083" spans="1:14" x14ac:dyDescent="0.3">
      <c r="A3083" s="1" t="str">
        <f>"5_521/2129-11/2024/Ф"</f>
        <v>5_521/2129-11/2024/Ф</v>
      </c>
      <c r="B3083" s="6">
        <v>45625</v>
      </c>
      <c r="C3083" s="1" t="str">
        <f>"00107"</f>
        <v>00107</v>
      </c>
      <c r="D3083" s="2" t="str">
        <f>"Державна реєстрація припинення підприємницької діяльності фізичної особи – підприємця за її рішенням"</f>
        <v>Державна реєстрація припинення підприємницької діяльності фізичної особи – підприємця за її рішенням</v>
      </c>
      <c r="E3083" s="1" t="s">
        <v>20</v>
      </c>
      <c r="F3083" s="1" t="str">
        <f t="shared" si="451"/>
        <v>Центр надання адміністративних послуг Рогатинської міської ради</v>
      </c>
      <c r="G3083" s="1" t="str">
        <f>"Фізична особа - підприємець"</f>
        <v>Фізична особа - підприємець</v>
      </c>
      <c r="H3083" s="1" t="str">
        <f>"ФОП ВІВСЯНИК РУСЛАН ПЕТРОВИЧ"</f>
        <v>ФОП ВІВСЯНИК РУСЛАН ПЕТРОВИЧ</v>
      </c>
      <c r="I3083" s="1" t="s">
        <v>20</v>
      </c>
      <c r="J3083" s="1" t="str">
        <f t="shared" si="452"/>
        <v>Закрито</v>
      </c>
      <c r="K3083" s="5">
        <v>45625</v>
      </c>
      <c r="L3083" s="1" t="s">
        <v>20</v>
      </c>
      <c r="M3083" s="1" t="s">
        <v>22</v>
      </c>
      <c r="N3083" s="5">
        <v>45625</v>
      </c>
    </row>
    <row r="3084" spans="1:14" x14ac:dyDescent="0.3">
      <c r="A3084" s="1" t="str">
        <f>"30_652-11/2024/С"</f>
        <v>30_652-11/2024/С</v>
      </c>
      <c r="B3084" s="6">
        <v>45625</v>
      </c>
      <c r="C3084" s="1" t="str">
        <f>"00034"</f>
        <v>00034</v>
      </c>
      <c r="D3084" s="2" t="str">
        <f>"Реєстрація місця проживання"</f>
        <v>Реєстрація місця проживання</v>
      </c>
      <c r="E3084" s="1" t="s">
        <v>20</v>
      </c>
      <c r="F3084" s="1" t="str">
        <f t="shared" si="451"/>
        <v>Центр надання адміністративних послуг Рогатинської міської ради</v>
      </c>
      <c r="G3084" s="1" t="str">
        <f t="shared" ref="G3084:G3112" si="453">"Фізична особа"</f>
        <v>Фізична особа</v>
      </c>
      <c r="H3084" s="1" t="s">
        <v>20</v>
      </c>
      <c r="I3084" s="1" t="s">
        <v>20</v>
      </c>
      <c r="J3084" s="1" t="str">
        <f t="shared" si="452"/>
        <v>Закрито</v>
      </c>
      <c r="K3084" s="5">
        <v>45625</v>
      </c>
      <c r="L3084" s="1" t="str">
        <f>"45.42"</f>
        <v>45.42</v>
      </c>
      <c r="M3084" s="1" t="s">
        <v>22</v>
      </c>
      <c r="N3084" s="5">
        <v>45625</v>
      </c>
    </row>
    <row r="3085" spans="1:14" x14ac:dyDescent="0.3">
      <c r="A3085" s="1" t="str">
        <f>"29_483-11/2024/М"</f>
        <v>29_483-11/2024/М</v>
      </c>
      <c r="B3085" s="6">
        <v>45625</v>
      </c>
      <c r="C3085" s="1" t="str">
        <f>"33"</f>
        <v>33</v>
      </c>
      <c r="D3085" s="2" t="str">
        <f>"33 Довідки різного характеру"</f>
        <v>33 Довідки різного характеру</v>
      </c>
      <c r="E3085" s="1" t="s">
        <v>20</v>
      </c>
      <c r="F3085" s="1" t="str">
        <f t="shared" si="451"/>
        <v>Центр надання адміністративних послуг Рогатинської міської ради</v>
      </c>
      <c r="G3085" s="1" t="str">
        <f t="shared" si="453"/>
        <v>Фізична особа</v>
      </c>
      <c r="H3085" s="1" t="s">
        <v>20</v>
      </c>
      <c r="I3085" s="1" t="s">
        <v>20</v>
      </c>
      <c r="J3085" s="1" t="str">
        <f t="shared" si="452"/>
        <v>Закрито</v>
      </c>
      <c r="K3085" s="5">
        <v>45625</v>
      </c>
      <c r="L3085" s="1" t="s">
        <v>20</v>
      </c>
      <c r="M3085" s="1" t="s">
        <v>22</v>
      </c>
      <c r="N3085" s="5">
        <v>45625</v>
      </c>
    </row>
    <row r="3086" spans="1:14" x14ac:dyDescent="0.3">
      <c r="A3086" s="1" t="str">
        <f>"30_653-11/2024/С"</f>
        <v>30_653-11/2024/С</v>
      </c>
      <c r="B3086" s="6">
        <v>45625</v>
      </c>
      <c r="C3086" s="1" t="str">
        <f>"00038"</f>
        <v>00038</v>
      </c>
      <c r="D308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86" s="1" t="s">
        <v>20</v>
      </c>
      <c r="F3086" s="1" t="str">
        <f t="shared" si="451"/>
        <v>Центр надання адміністративних послуг Рогатинської міської ради</v>
      </c>
      <c r="G3086" s="1" t="str">
        <f t="shared" si="453"/>
        <v>Фізична особа</v>
      </c>
      <c r="H3086" s="1" t="s">
        <v>20</v>
      </c>
      <c r="I3086" s="1" t="s">
        <v>20</v>
      </c>
      <c r="J3086" s="1" t="str">
        <f t="shared" si="452"/>
        <v>Закрито</v>
      </c>
      <c r="K3086" s="5">
        <v>45625</v>
      </c>
      <c r="L3086" s="1" t="s">
        <v>20</v>
      </c>
      <c r="M3086" s="1" t="s">
        <v>22</v>
      </c>
      <c r="N3086" s="5">
        <v>45625</v>
      </c>
    </row>
    <row r="3087" spans="1:14" x14ac:dyDescent="0.3">
      <c r="A3087" s="1" t="str">
        <f>"29_484-11/2024/К"</f>
        <v>29_484-11/2024/К</v>
      </c>
      <c r="B3087" s="6">
        <v>45625</v>
      </c>
      <c r="C3087" s="1" t="str">
        <f>"33"</f>
        <v>33</v>
      </c>
      <c r="D3087" s="2" t="str">
        <f>"33 Довідки різного характеру"</f>
        <v>33 Довідки різного характеру</v>
      </c>
      <c r="E3087" s="1" t="s">
        <v>20</v>
      </c>
      <c r="F3087" s="1" t="str">
        <f t="shared" si="451"/>
        <v>Центр надання адміністративних послуг Рогатинської міської ради</v>
      </c>
      <c r="G3087" s="1" t="str">
        <f t="shared" si="453"/>
        <v>Фізична особа</v>
      </c>
      <c r="H3087" s="1" t="s">
        <v>20</v>
      </c>
      <c r="I3087" s="1" t="s">
        <v>20</v>
      </c>
      <c r="J3087" s="1" t="str">
        <f t="shared" si="452"/>
        <v>Закрито</v>
      </c>
      <c r="K3087" s="5">
        <v>45625</v>
      </c>
      <c r="L3087" s="1" t="s">
        <v>20</v>
      </c>
      <c r="M3087" s="1" t="s">
        <v>22</v>
      </c>
      <c r="N3087" s="5">
        <v>45625</v>
      </c>
    </row>
    <row r="3088" spans="1:14" x14ac:dyDescent="0.3">
      <c r="A3088" s="1" t="str">
        <f>"30_654-11/2024/С"</f>
        <v>30_654-11/2024/С</v>
      </c>
      <c r="B3088" s="6">
        <v>45625</v>
      </c>
      <c r="C3088" s="1" t="str">
        <f>"00155"</f>
        <v>00155</v>
      </c>
      <c r="D3088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088" s="1" t="str">
        <f>"03193413"</f>
        <v>03193413</v>
      </c>
      <c r="F308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88" s="1" t="str">
        <f t="shared" si="453"/>
        <v>Фізична особа</v>
      </c>
      <c r="H3088" s="1" t="s">
        <v>20</v>
      </c>
      <c r="I3088" s="1" t="s">
        <v>20</v>
      </c>
      <c r="J3088" s="1" t="str">
        <f t="shared" si="452"/>
        <v>Закрито</v>
      </c>
      <c r="K3088" s="1" t="s">
        <v>20</v>
      </c>
      <c r="L3088" s="1" t="s">
        <v>20</v>
      </c>
      <c r="M3088" s="1" t="s">
        <v>22</v>
      </c>
      <c r="N3088" s="1" t="s">
        <v>20</v>
      </c>
    </row>
    <row r="3089" spans="1:14" x14ac:dyDescent="0.3">
      <c r="A3089" s="1" t="str">
        <f>"1_751-11/2024/Л"</f>
        <v>1_751-11/2024/Л</v>
      </c>
      <c r="B3089" s="6">
        <v>45625</v>
      </c>
      <c r="C3089" s="1" t="str">
        <f>"00038"</f>
        <v>00038</v>
      </c>
      <c r="D308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89" s="1" t="s">
        <v>20</v>
      </c>
      <c r="F308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89" s="1" t="str">
        <f t="shared" si="453"/>
        <v>Фізична особа</v>
      </c>
      <c r="H3089" s="1" t="s">
        <v>20</v>
      </c>
      <c r="I3089" s="1" t="s">
        <v>20</v>
      </c>
      <c r="J3089" s="1" t="str">
        <f t="shared" si="452"/>
        <v>Закрито</v>
      </c>
      <c r="K3089" s="5">
        <v>45625</v>
      </c>
      <c r="L3089" s="1" t="s">
        <v>20</v>
      </c>
      <c r="M3089" s="1" t="s">
        <v>22</v>
      </c>
      <c r="N3089" s="5">
        <v>45625</v>
      </c>
    </row>
    <row r="3090" spans="1:14" x14ac:dyDescent="0.3">
      <c r="A3090" s="1" t="str">
        <f>"26_396-11/2024/М"</f>
        <v>26_396-11/2024/М</v>
      </c>
      <c r="B3090" s="6">
        <v>45625</v>
      </c>
      <c r="C3090" s="1" t="str">
        <f>"33"</f>
        <v>33</v>
      </c>
      <c r="D3090" s="2" t="str">
        <f>"33 Довідки різного характеру"</f>
        <v>33 Довідки різного характеру</v>
      </c>
      <c r="E3090" s="1" t="s">
        <v>20</v>
      </c>
      <c r="F309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90" s="1" t="str">
        <f t="shared" si="453"/>
        <v>Фізична особа</v>
      </c>
      <c r="H3090" s="1" t="s">
        <v>20</v>
      </c>
      <c r="I3090" s="1" t="s">
        <v>20</v>
      </c>
      <c r="J3090" s="1" t="str">
        <f t="shared" si="452"/>
        <v>Закрито</v>
      </c>
      <c r="K3090" s="5">
        <v>45625</v>
      </c>
      <c r="L3090" s="1" t="s">
        <v>20</v>
      </c>
      <c r="M3090" s="1" t="s">
        <v>22</v>
      </c>
      <c r="N3090" s="5">
        <v>45625</v>
      </c>
    </row>
    <row r="3091" spans="1:14" x14ac:dyDescent="0.3">
      <c r="A3091" s="1" t="str">
        <f>"29_485-11/2024/р"</f>
        <v>29_485-11/2024/р</v>
      </c>
      <c r="B3091" s="6">
        <v>45625</v>
      </c>
      <c r="C3091" s="1" t="str">
        <f>"00244"</f>
        <v>00244</v>
      </c>
      <c r="D3091" s="2" t="str">
        <f>"Видача довідки про наявність у фізичної особи земельних ділянок (форма №3 ДФ)"</f>
        <v>Видача довідки про наявність у фізичної особи земельних ділянок (форма №3 ДФ)</v>
      </c>
      <c r="E3091" s="1" t="str">
        <f>"04054323"</f>
        <v>04054323</v>
      </c>
      <c r="F3091" s="1" t="str">
        <f>"Рогатинська міська рада"</f>
        <v>Рогатинська міська рада</v>
      </c>
      <c r="G3091" s="1" t="str">
        <f t="shared" si="453"/>
        <v>Фізична особа</v>
      </c>
      <c r="H3091" s="1" t="s">
        <v>20</v>
      </c>
      <c r="I3091" s="1" t="s">
        <v>20</v>
      </c>
      <c r="J3091" s="1" t="str">
        <f t="shared" si="452"/>
        <v>Закрито</v>
      </c>
      <c r="K3091" s="5">
        <v>45625</v>
      </c>
      <c r="L3091" s="1" t="s">
        <v>20</v>
      </c>
      <c r="M3091" s="1" t="s">
        <v>22</v>
      </c>
      <c r="N3091" s="5">
        <v>45625</v>
      </c>
    </row>
    <row r="3092" spans="1:14" x14ac:dyDescent="0.3">
      <c r="A3092" s="1" t="str">
        <f>"1_752-11/2024/Р"</f>
        <v>1_752-11/2024/Р</v>
      </c>
      <c r="B3092" s="6">
        <v>45625</v>
      </c>
      <c r="C3092" s="1" t="str">
        <f>"00038"</f>
        <v>00038</v>
      </c>
      <c r="D309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92" s="1" t="s">
        <v>20</v>
      </c>
      <c r="F309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92" s="1" t="str">
        <f t="shared" si="453"/>
        <v>Фізична особа</v>
      </c>
      <c r="H3092" s="1" t="s">
        <v>20</v>
      </c>
      <c r="I3092" s="1" t="s">
        <v>20</v>
      </c>
      <c r="J3092" s="1" t="str">
        <f t="shared" si="452"/>
        <v>Закрито</v>
      </c>
      <c r="K3092" s="5">
        <v>45625</v>
      </c>
      <c r="L3092" s="1" t="s">
        <v>20</v>
      </c>
      <c r="M3092" s="1" t="s">
        <v>22</v>
      </c>
      <c r="N3092" s="5">
        <v>45625</v>
      </c>
    </row>
    <row r="3093" spans="1:14" x14ac:dyDescent="0.3">
      <c r="A3093" s="1" t="str">
        <f>"1_753-11/2024/Л"</f>
        <v>1_753-11/2024/Л</v>
      </c>
      <c r="B3093" s="6">
        <v>45625</v>
      </c>
      <c r="C3093" s="1" t="str">
        <f>"00038"</f>
        <v>00038</v>
      </c>
      <c r="D309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93" s="1" t="s">
        <v>20</v>
      </c>
      <c r="F309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93" s="1" t="str">
        <f t="shared" si="453"/>
        <v>Фізична особа</v>
      </c>
      <c r="H3093" s="1" t="s">
        <v>20</v>
      </c>
      <c r="I3093" s="1" t="s">
        <v>20</v>
      </c>
      <c r="J3093" s="1" t="str">
        <f t="shared" si="452"/>
        <v>Закрито</v>
      </c>
      <c r="K3093" s="5">
        <v>45625</v>
      </c>
      <c r="L3093" s="1" t="s">
        <v>20</v>
      </c>
      <c r="M3093" s="1" t="s">
        <v>22</v>
      </c>
      <c r="N3093" s="5">
        <v>45625</v>
      </c>
    </row>
    <row r="3094" spans="1:14" x14ac:dyDescent="0.3">
      <c r="A3094" s="1" t="str">
        <f>"1_6094/2129-11/2024/К"</f>
        <v>1_6094/2129-11/2024/К</v>
      </c>
      <c r="B3094" s="6">
        <v>45625</v>
      </c>
      <c r="C3094" s="1" t="str">
        <f>"00038"</f>
        <v>00038</v>
      </c>
      <c r="D309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94" s="1" t="s">
        <v>20</v>
      </c>
      <c r="F309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94" s="1" t="str">
        <f t="shared" si="453"/>
        <v>Фізична особа</v>
      </c>
      <c r="H3094" s="1" t="s">
        <v>20</v>
      </c>
      <c r="I3094" s="1" t="s">
        <v>20</v>
      </c>
      <c r="J3094" s="1" t="str">
        <f t="shared" si="452"/>
        <v>Закрито</v>
      </c>
      <c r="K3094" s="5">
        <v>45625</v>
      </c>
      <c r="L3094" s="1" t="s">
        <v>20</v>
      </c>
      <c r="M3094" s="1" t="s">
        <v>22</v>
      </c>
      <c r="N3094" s="5">
        <v>45625</v>
      </c>
    </row>
    <row r="3095" spans="1:14" x14ac:dyDescent="0.3">
      <c r="A3095" s="1" t="str">
        <f>"1_6095/2129-11/2024/М"</f>
        <v>1_6095/2129-11/2024/М</v>
      </c>
      <c r="B3095" s="6">
        <v>45625</v>
      </c>
      <c r="C3095" s="1" t="str">
        <f>"00038"</f>
        <v>00038</v>
      </c>
      <c r="D309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95" s="1" t="s">
        <v>20</v>
      </c>
      <c r="F309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95" s="1" t="str">
        <f t="shared" si="453"/>
        <v>Фізична особа</v>
      </c>
      <c r="H3095" s="1" t="s">
        <v>20</v>
      </c>
      <c r="I3095" s="1" t="s">
        <v>20</v>
      </c>
      <c r="J3095" s="1" t="str">
        <f t="shared" si="452"/>
        <v>Закрито</v>
      </c>
      <c r="K3095" s="5">
        <v>45625</v>
      </c>
      <c r="L3095" s="1" t="s">
        <v>20</v>
      </c>
      <c r="M3095" s="1" t="s">
        <v>22</v>
      </c>
      <c r="N3095" s="5">
        <v>45625</v>
      </c>
    </row>
    <row r="3096" spans="1:14" x14ac:dyDescent="0.3">
      <c r="A3096" s="1" t="str">
        <f>"1_754-11/2024/Л"</f>
        <v>1_754-11/2024/Л</v>
      </c>
      <c r="B3096" s="6">
        <v>45625</v>
      </c>
      <c r="C3096" s="1" t="str">
        <f>"00155"</f>
        <v>00155</v>
      </c>
      <c r="D3096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096" s="1" t="str">
        <f>"03193413"</f>
        <v>03193413</v>
      </c>
      <c r="F309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096" s="1" t="str">
        <f t="shared" si="453"/>
        <v>Фізична особа</v>
      </c>
      <c r="H3096" s="1" t="s">
        <v>20</v>
      </c>
      <c r="I3096" s="1" t="s">
        <v>20</v>
      </c>
      <c r="J3096" s="1" t="str">
        <f t="shared" si="452"/>
        <v>Закрито</v>
      </c>
      <c r="K3096" s="5">
        <v>45653</v>
      </c>
      <c r="L3096" s="1" t="s">
        <v>20</v>
      </c>
      <c r="M3096" s="1" t="s">
        <v>22</v>
      </c>
      <c r="N3096" s="5">
        <v>45653</v>
      </c>
    </row>
    <row r="3097" spans="1:14" x14ac:dyDescent="0.3">
      <c r="A3097" s="1" t="str">
        <f>"1_6096/2129-11/2024/М"</f>
        <v>1_6096/2129-11/2024/М</v>
      </c>
      <c r="B3097" s="6">
        <v>45625</v>
      </c>
      <c r="C3097" s="1" t="str">
        <f>"00038"</f>
        <v>00038</v>
      </c>
      <c r="D309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97" s="1" t="s">
        <v>20</v>
      </c>
      <c r="F3097" s="1" t="str">
        <f t="shared" ref="F3097:F3111" si="454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097" s="1" t="str">
        <f t="shared" si="453"/>
        <v>Фізична особа</v>
      </c>
      <c r="H3097" s="1" t="s">
        <v>20</v>
      </c>
      <c r="I3097" s="1" t="s">
        <v>20</v>
      </c>
      <c r="J3097" s="1" t="str">
        <f t="shared" si="452"/>
        <v>Закрито</v>
      </c>
      <c r="K3097" s="5">
        <v>45625</v>
      </c>
      <c r="L3097" s="1" t="s">
        <v>20</v>
      </c>
      <c r="M3097" s="1" t="s">
        <v>22</v>
      </c>
      <c r="N3097" s="5">
        <v>45625</v>
      </c>
    </row>
    <row r="3098" spans="1:14" x14ac:dyDescent="0.3">
      <c r="A3098" s="1" t="str">
        <f>"1_6097/2129-11/2024/М"</f>
        <v>1_6097/2129-11/2024/М</v>
      </c>
      <c r="B3098" s="6">
        <v>45625</v>
      </c>
      <c r="C3098" s="1" t="str">
        <f>"00038"</f>
        <v>00038</v>
      </c>
      <c r="D309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098" s="1" t="s">
        <v>20</v>
      </c>
      <c r="F3098" s="1" t="str">
        <f t="shared" si="454"/>
        <v>Центр надання адміністративних послуг Рогатинської міської ради</v>
      </c>
      <c r="G3098" s="1" t="str">
        <f t="shared" si="453"/>
        <v>Фізична особа</v>
      </c>
      <c r="H3098" s="1" t="s">
        <v>20</v>
      </c>
      <c r="I3098" s="1" t="s">
        <v>20</v>
      </c>
      <c r="J3098" s="1" t="str">
        <f t="shared" si="452"/>
        <v>Закрито</v>
      </c>
      <c r="K3098" s="5">
        <v>45625</v>
      </c>
      <c r="L3098" s="1" t="s">
        <v>20</v>
      </c>
      <c r="M3098" s="1" t="s">
        <v>22</v>
      </c>
      <c r="N3098" s="5">
        <v>45625</v>
      </c>
    </row>
    <row r="3099" spans="1:14" x14ac:dyDescent="0.3">
      <c r="A3099" s="1" t="str">
        <f>"21_658-11/2024/М"</f>
        <v>21_658-11/2024/М</v>
      </c>
      <c r="B3099" s="6">
        <v>45625</v>
      </c>
      <c r="C3099" s="1" t="str">
        <f>"33"</f>
        <v>33</v>
      </c>
      <c r="D3099" s="2" t="str">
        <f>"33 Довідки різного характеру"</f>
        <v>33 Довідки різного характеру</v>
      </c>
      <c r="E3099" s="1" t="s">
        <v>20</v>
      </c>
      <c r="F3099" s="1" t="str">
        <f t="shared" si="454"/>
        <v>Центр надання адміністративних послуг Рогатинської міської ради</v>
      </c>
      <c r="G3099" s="1" t="str">
        <f t="shared" si="453"/>
        <v>Фізична особа</v>
      </c>
      <c r="H3099" s="1" t="s">
        <v>20</v>
      </c>
      <c r="I3099" s="1" t="s">
        <v>20</v>
      </c>
      <c r="J3099" s="1" t="str">
        <f t="shared" si="452"/>
        <v>Закрито</v>
      </c>
      <c r="K3099" s="5">
        <v>45625</v>
      </c>
      <c r="L3099" s="1" t="s">
        <v>20</v>
      </c>
      <c r="M3099" s="1" t="s">
        <v>22</v>
      </c>
      <c r="N3099" s="5">
        <v>45625</v>
      </c>
    </row>
    <row r="3100" spans="1:14" x14ac:dyDescent="0.3">
      <c r="A3100" s="1" t="str">
        <f>"1_6098/2129-11/2024/М"</f>
        <v>1_6098/2129-11/2024/М</v>
      </c>
      <c r="B3100" s="6">
        <v>45625</v>
      </c>
      <c r="C3100" s="1" t="str">
        <f>"00038"</f>
        <v>00038</v>
      </c>
      <c r="D310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00" s="1" t="s">
        <v>20</v>
      </c>
      <c r="F3100" s="1" t="str">
        <f t="shared" si="454"/>
        <v>Центр надання адміністративних послуг Рогатинської міської ради</v>
      </c>
      <c r="G3100" s="1" t="str">
        <f t="shared" si="453"/>
        <v>Фізична особа</v>
      </c>
      <c r="H3100" s="1" t="s">
        <v>20</v>
      </c>
      <c r="I3100" s="1" t="s">
        <v>20</v>
      </c>
      <c r="J3100" s="1" t="str">
        <f t="shared" si="452"/>
        <v>Закрито</v>
      </c>
      <c r="K3100" s="5">
        <v>45625</v>
      </c>
      <c r="L3100" s="1" t="s">
        <v>20</v>
      </c>
      <c r="M3100" s="1" t="s">
        <v>22</v>
      </c>
      <c r="N3100" s="5">
        <v>45625</v>
      </c>
    </row>
    <row r="3101" spans="1:14" x14ac:dyDescent="0.3">
      <c r="A3101" s="1" t="str">
        <f>"28_681-11/2024/К"</f>
        <v>28_681-11/2024/К</v>
      </c>
      <c r="B3101" s="6">
        <v>45625</v>
      </c>
      <c r="C3101" s="1" t="str">
        <f>"00034"</f>
        <v>00034</v>
      </c>
      <c r="D3101" s="2" t="str">
        <f>"Реєстрація місця проживання"</f>
        <v>Реєстрація місця проживання</v>
      </c>
      <c r="E3101" s="1" t="s">
        <v>20</v>
      </c>
      <c r="F3101" s="1" t="str">
        <f t="shared" si="454"/>
        <v>Центр надання адміністративних послуг Рогатинської міської ради</v>
      </c>
      <c r="G3101" s="1" t="str">
        <f t="shared" si="453"/>
        <v>Фізична особа</v>
      </c>
      <c r="H3101" s="1" t="s">
        <v>20</v>
      </c>
      <c r="I3101" s="1" t="s">
        <v>20</v>
      </c>
      <c r="J3101" s="1" t="str">
        <f t="shared" si="452"/>
        <v>Закрито</v>
      </c>
      <c r="K3101" s="5">
        <v>45625</v>
      </c>
      <c r="L3101" s="1" t="str">
        <f>"45.42"</f>
        <v>45.42</v>
      </c>
      <c r="M3101" s="1" t="s">
        <v>22</v>
      </c>
      <c r="N3101" s="5">
        <v>45625</v>
      </c>
    </row>
    <row r="3102" spans="1:14" x14ac:dyDescent="0.3">
      <c r="A3102" s="1" t="str">
        <f>"1_6100/2129-11/2024/І"</f>
        <v>1_6100/2129-11/2024/І</v>
      </c>
      <c r="B3102" s="6">
        <v>45625</v>
      </c>
      <c r="C3102" s="1" t="str">
        <f>"00038"</f>
        <v>00038</v>
      </c>
      <c r="D310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02" s="1" t="s">
        <v>20</v>
      </c>
      <c r="F3102" s="1" t="str">
        <f t="shared" si="454"/>
        <v>Центр надання адміністративних послуг Рогатинської міської ради</v>
      </c>
      <c r="G3102" s="1" t="str">
        <f t="shared" si="453"/>
        <v>Фізична особа</v>
      </c>
      <c r="H3102" s="1" t="s">
        <v>20</v>
      </c>
      <c r="I3102" s="1" t="s">
        <v>20</v>
      </c>
      <c r="J3102" s="1" t="str">
        <f t="shared" si="452"/>
        <v>Закрито</v>
      </c>
      <c r="K3102" s="5">
        <v>45625</v>
      </c>
      <c r="L3102" s="1" t="s">
        <v>20</v>
      </c>
      <c r="M3102" s="1" t="s">
        <v>22</v>
      </c>
      <c r="N3102" s="5">
        <v>45625</v>
      </c>
    </row>
    <row r="3103" spans="1:14" x14ac:dyDescent="0.3">
      <c r="A3103" s="1" t="str">
        <f>"1_6101/2129-11/2024/Н"</f>
        <v>1_6101/2129-11/2024/Н</v>
      </c>
      <c r="B3103" s="6">
        <v>45625</v>
      </c>
      <c r="C3103" s="1" t="str">
        <f>"00038"</f>
        <v>00038</v>
      </c>
      <c r="D310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03" s="1" t="s">
        <v>20</v>
      </c>
      <c r="F3103" s="1" t="str">
        <f t="shared" si="454"/>
        <v>Центр надання адміністративних послуг Рогатинської міської ради</v>
      </c>
      <c r="G3103" s="1" t="str">
        <f t="shared" si="453"/>
        <v>Фізична особа</v>
      </c>
      <c r="H3103" s="1" t="s">
        <v>20</v>
      </c>
      <c r="I3103" s="1" t="s">
        <v>20</v>
      </c>
      <c r="J3103" s="1" t="str">
        <f t="shared" si="452"/>
        <v>Закрито</v>
      </c>
      <c r="K3103" s="5">
        <v>45625</v>
      </c>
      <c r="L3103" s="1" t="s">
        <v>20</v>
      </c>
      <c r="M3103" s="1" t="s">
        <v>22</v>
      </c>
      <c r="N3103" s="5">
        <v>45625</v>
      </c>
    </row>
    <row r="3104" spans="1:14" x14ac:dyDescent="0.3">
      <c r="A3104" s="1" t="str">
        <f>"28_682-11/2024/К"</f>
        <v>28_682-11/2024/К</v>
      </c>
      <c r="B3104" s="6">
        <v>45625</v>
      </c>
      <c r="C3104" s="1" t="str">
        <f>"00038"</f>
        <v>00038</v>
      </c>
      <c r="D310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04" s="1" t="s">
        <v>20</v>
      </c>
      <c r="F3104" s="1" t="str">
        <f t="shared" si="454"/>
        <v>Центр надання адміністративних послуг Рогатинської міської ради</v>
      </c>
      <c r="G3104" s="1" t="str">
        <f t="shared" si="453"/>
        <v>Фізична особа</v>
      </c>
      <c r="H3104" s="1" t="s">
        <v>20</v>
      </c>
      <c r="I3104" s="1" t="s">
        <v>20</v>
      </c>
      <c r="J3104" s="1" t="str">
        <f t="shared" si="452"/>
        <v>Закрито</v>
      </c>
      <c r="K3104" s="5">
        <v>45625</v>
      </c>
      <c r="L3104" s="1" t="s">
        <v>20</v>
      </c>
      <c r="M3104" s="1" t="s">
        <v>22</v>
      </c>
      <c r="N3104" s="5">
        <v>45625</v>
      </c>
    </row>
    <row r="3105" spans="1:14" x14ac:dyDescent="0.3">
      <c r="A3105" s="1" t="str">
        <f>"1_6102/2129-11/2024/Ш"</f>
        <v>1_6102/2129-11/2024/Ш</v>
      </c>
      <c r="B3105" s="6">
        <v>45625</v>
      </c>
      <c r="C3105" s="1" t="str">
        <f>"00038"</f>
        <v>00038</v>
      </c>
      <c r="D310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05" s="1" t="s">
        <v>20</v>
      </c>
      <c r="F3105" s="1" t="str">
        <f t="shared" si="454"/>
        <v>Центр надання адміністративних послуг Рогатинської міської ради</v>
      </c>
      <c r="G3105" s="1" t="str">
        <f t="shared" si="453"/>
        <v>Фізична особа</v>
      </c>
      <c r="H3105" s="1" t="s">
        <v>20</v>
      </c>
      <c r="I3105" s="1" t="s">
        <v>20</v>
      </c>
      <c r="J3105" s="1" t="str">
        <f t="shared" si="452"/>
        <v>Закрито</v>
      </c>
      <c r="K3105" s="5">
        <v>45625</v>
      </c>
      <c r="L3105" s="1" t="s">
        <v>20</v>
      </c>
      <c r="M3105" s="1" t="s">
        <v>22</v>
      </c>
      <c r="N3105" s="5">
        <v>45625</v>
      </c>
    </row>
    <row r="3106" spans="1:14" x14ac:dyDescent="0.3">
      <c r="A3106" s="1" t="str">
        <f>"29_486-11/2024/К"</f>
        <v>29_486-11/2024/К</v>
      </c>
      <c r="B3106" s="6">
        <v>45625</v>
      </c>
      <c r="C3106" s="1" t="str">
        <f>"33"</f>
        <v>33</v>
      </c>
      <c r="D3106" s="2" t="str">
        <f>"33 Довідки різного характеру"</f>
        <v>33 Довідки різного характеру</v>
      </c>
      <c r="E3106" s="1" t="s">
        <v>20</v>
      </c>
      <c r="F3106" s="1" t="str">
        <f t="shared" si="454"/>
        <v>Центр надання адміністративних послуг Рогатинської міської ради</v>
      </c>
      <c r="G3106" s="1" t="str">
        <f t="shared" si="453"/>
        <v>Фізична особа</v>
      </c>
      <c r="H3106" s="1" t="s">
        <v>20</v>
      </c>
      <c r="I3106" s="1" t="s">
        <v>20</v>
      </c>
      <c r="J3106" s="1" t="str">
        <f t="shared" si="452"/>
        <v>Закрито</v>
      </c>
      <c r="K3106" s="1" t="s">
        <v>20</v>
      </c>
      <c r="L3106" s="1" t="s">
        <v>20</v>
      </c>
      <c r="M3106" s="1" t="s">
        <v>22</v>
      </c>
      <c r="N3106" s="1" t="s">
        <v>20</v>
      </c>
    </row>
    <row r="3107" spans="1:14" x14ac:dyDescent="0.3">
      <c r="A3107" s="1" t="str">
        <f>"29_487-11/2024/К"</f>
        <v>29_487-11/2024/К</v>
      </c>
      <c r="B3107" s="6">
        <v>45625</v>
      </c>
      <c r="C3107" s="1" t="str">
        <f>"33"</f>
        <v>33</v>
      </c>
      <c r="D3107" s="2" t="str">
        <f>"33 Довідки різного характеру"</f>
        <v>33 Довідки різного характеру</v>
      </c>
      <c r="E3107" s="1" t="s">
        <v>20</v>
      </c>
      <c r="F3107" s="1" t="str">
        <f t="shared" si="454"/>
        <v>Центр надання адміністративних послуг Рогатинської міської ради</v>
      </c>
      <c r="G3107" s="1" t="str">
        <f t="shared" si="453"/>
        <v>Фізична особа</v>
      </c>
      <c r="H3107" s="1" t="s">
        <v>20</v>
      </c>
      <c r="I3107" s="1" t="s">
        <v>20</v>
      </c>
      <c r="J3107" s="1" t="str">
        <f t="shared" si="452"/>
        <v>Закрито</v>
      </c>
      <c r="K3107" s="5">
        <v>45625</v>
      </c>
      <c r="L3107" s="1" t="s">
        <v>20</v>
      </c>
      <c r="M3107" s="1" t="s">
        <v>22</v>
      </c>
      <c r="N3107" s="5">
        <v>45625</v>
      </c>
    </row>
    <row r="3108" spans="1:14" x14ac:dyDescent="0.3">
      <c r="A3108" s="1" t="str">
        <f>"29_488-11/2024/к"</f>
        <v>29_488-11/2024/к</v>
      </c>
      <c r="B3108" s="6">
        <v>45625</v>
      </c>
      <c r="C3108" s="1" t="str">
        <f>"33"</f>
        <v>33</v>
      </c>
      <c r="D3108" s="2" t="str">
        <f>"33 Довідки різного характеру"</f>
        <v>33 Довідки різного характеру</v>
      </c>
      <c r="E3108" s="1" t="s">
        <v>20</v>
      </c>
      <c r="F3108" s="1" t="str">
        <f t="shared" si="454"/>
        <v>Центр надання адміністративних послуг Рогатинської міської ради</v>
      </c>
      <c r="G3108" s="1" t="str">
        <f t="shared" si="453"/>
        <v>Фізична особа</v>
      </c>
      <c r="H3108" s="1" t="s">
        <v>20</v>
      </c>
      <c r="I3108" s="1" t="s">
        <v>20</v>
      </c>
      <c r="J3108" s="1" t="str">
        <f t="shared" si="452"/>
        <v>Закрито</v>
      </c>
      <c r="K3108" s="5">
        <v>45625</v>
      </c>
      <c r="L3108" s="1" t="s">
        <v>20</v>
      </c>
      <c r="M3108" s="1" t="s">
        <v>22</v>
      </c>
      <c r="N3108" s="5">
        <v>45625</v>
      </c>
    </row>
    <row r="3109" spans="1:14" x14ac:dyDescent="0.3">
      <c r="A3109" s="1" t="str">
        <f>"29_489-11/2024/Г"</f>
        <v>29_489-11/2024/Г</v>
      </c>
      <c r="B3109" s="6">
        <v>45625</v>
      </c>
      <c r="C3109" s="1" t="str">
        <f>"33"</f>
        <v>33</v>
      </c>
      <c r="D3109" s="2" t="str">
        <f>"33 Довідки різного характеру"</f>
        <v>33 Довідки різного характеру</v>
      </c>
      <c r="E3109" s="1" t="s">
        <v>20</v>
      </c>
      <c r="F3109" s="1" t="str">
        <f t="shared" si="454"/>
        <v>Центр надання адміністративних послуг Рогатинської міської ради</v>
      </c>
      <c r="G3109" s="1" t="str">
        <f t="shared" si="453"/>
        <v>Фізична особа</v>
      </c>
      <c r="H3109" s="1" t="s">
        <v>20</v>
      </c>
      <c r="I3109" s="1" t="s">
        <v>20</v>
      </c>
      <c r="J3109" s="1" t="str">
        <f t="shared" si="452"/>
        <v>Закрито</v>
      </c>
      <c r="K3109" s="5">
        <v>45625</v>
      </c>
      <c r="L3109" s="1" t="s">
        <v>20</v>
      </c>
      <c r="M3109" s="1" t="s">
        <v>22</v>
      </c>
      <c r="N3109" s="5">
        <v>45625</v>
      </c>
    </row>
    <row r="3110" spans="1:14" x14ac:dyDescent="0.3">
      <c r="A3110" s="1" t="str">
        <f>"15_360-11/2024/В"</f>
        <v>15_360-11/2024/В</v>
      </c>
      <c r="B3110" s="6">
        <v>45625</v>
      </c>
      <c r="C3110" s="1" t="str">
        <f>"00038"</f>
        <v>00038</v>
      </c>
      <c r="D311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10" s="1" t="s">
        <v>20</v>
      </c>
      <c r="F3110" s="1" t="str">
        <f t="shared" si="454"/>
        <v>Центр надання адміністративних послуг Рогатинської міської ради</v>
      </c>
      <c r="G3110" s="1" t="str">
        <f t="shared" si="453"/>
        <v>Фізична особа</v>
      </c>
      <c r="H3110" s="1" t="s">
        <v>20</v>
      </c>
      <c r="I3110" s="1" t="s">
        <v>20</v>
      </c>
      <c r="J3110" s="1" t="str">
        <f t="shared" si="452"/>
        <v>Закрито</v>
      </c>
      <c r="K3110" s="5">
        <v>45625</v>
      </c>
      <c r="L3110" s="1" t="s">
        <v>20</v>
      </c>
      <c r="M3110" s="1" t="s">
        <v>22</v>
      </c>
      <c r="N3110" s="5">
        <v>45625</v>
      </c>
    </row>
    <row r="3111" spans="1:14" x14ac:dyDescent="0.3">
      <c r="A3111" s="1" t="str">
        <f>"15_361-11/2024/Г"</f>
        <v>15_361-11/2024/Г</v>
      </c>
      <c r="B3111" s="6">
        <v>45625</v>
      </c>
      <c r="C3111" s="1" t="str">
        <f>"33"</f>
        <v>33</v>
      </c>
      <c r="D3111" s="2" t="str">
        <f>"33 Довідки різного характеру"</f>
        <v>33 Довідки різного характеру</v>
      </c>
      <c r="E3111" s="1" t="s">
        <v>20</v>
      </c>
      <c r="F3111" s="1" t="str">
        <f t="shared" si="454"/>
        <v>Центр надання адміністративних послуг Рогатинської міської ради</v>
      </c>
      <c r="G3111" s="1" t="str">
        <f t="shared" si="453"/>
        <v>Фізична особа</v>
      </c>
      <c r="H3111" s="1" t="s">
        <v>20</v>
      </c>
      <c r="I3111" s="1" t="s">
        <v>20</v>
      </c>
      <c r="J3111" s="1" t="str">
        <f t="shared" si="452"/>
        <v>Закрито</v>
      </c>
      <c r="K3111" s="5">
        <v>45625</v>
      </c>
      <c r="L3111" s="1" t="s">
        <v>20</v>
      </c>
      <c r="M3111" s="1" t="s">
        <v>22</v>
      </c>
      <c r="N3111" s="5">
        <v>45625</v>
      </c>
    </row>
    <row r="3112" spans="1:14" x14ac:dyDescent="0.3">
      <c r="A3112" s="1" t="str">
        <f>"3_1447/4-11/2024/К"</f>
        <v>3_1447/4-11/2024/К</v>
      </c>
      <c r="B3112" s="6">
        <v>45625</v>
      </c>
      <c r="C3112" s="1" t="str">
        <f>"00068"</f>
        <v>00068</v>
      </c>
      <c r="D3112" s="2" t="str">
        <f>"Видача витягу з технічної документації про нормативну грошову оцінку земельної ділянки"</f>
        <v>Видача витягу з технічної документації про нормативну грошову оцінку земельної ділянки</v>
      </c>
      <c r="E3112" s="1" t="s">
        <v>20</v>
      </c>
      <c r="F3112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112" s="1" t="str">
        <f t="shared" si="453"/>
        <v>Фізична особа</v>
      </c>
      <c r="H3112" s="1" t="s">
        <v>20</v>
      </c>
      <c r="I3112" s="1" t="s">
        <v>20</v>
      </c>
      <c r="J3112" s="1" t="str">
        <f t="shared" si="452"/>
        <v>Закрито</v>
      </c>
      <c r="K3112" s="5">
        <v>45625</v>
      </c>
      <c r="L3112" s="1" t="s">
        <v>20</v>
      </c>
      <c r="M3112" s="1" t="s">
        <v>22</v>
      </c>
      <c r="N3112" s="5">
        <v>45625</v>
      </c>
    </row>
    <row r="3113" spans="1:14" x14ac:dyDescent="0.3">
      <c r="A3113" s="1" t="str">
        <f>"9_1741/04054323-11/2024/Б"</f>
        <v>9_1741/04054323-11/2024/Б</v>
      </c>
      <c r="B3113" s="6">
        <v>45625</v>
      </c>
      <c r="C3113" s="1" t="str">
        <f>"01-1"</f>
        <v>01-1</v>
      </c>
      <c r="D3113" s="2" t="s">
        <v>0</v>
      </c>
      <c r="E3113" s="1" t="str">
        <f>"04054323"</f>
        <v>04054323</v>
      </c>
      <c r="F3113" s="1" t="str">
        <f>"Рогатинська міська рада"</f>
        <v>Рогатинська міська рада</v>
      </c>
      <c r="G3113" s="1" t="s">
        <v>21</v>
      </c>
      <c r="H3113" s="1" t="s">
        <v>20</v>
      </c>
      <c r="I3113" s="1" t="s">
        <v>20</v>
      </c>
      <c r="J3113" s="1" t="str">
        <f>"На обробці в СНАП"</f>
        <v>На обробці в СНАП</v>
      </c>
      <c r="K3113" s="1" t="s">
        <v>20</v>
      </c>
      <c r="L3113" s="1" t="s">
        <v>20</v>
      </c>
      <c r="M3113" s="1" t="s">
        <v>22</v>
      </c>
      <c r="N3113" s="1" t="s">
        <v>20</v>
      </c>
    </row>
    <row r="3114" spans="1:14" x14ac:dyDescent="0.3">
      <c r="A3114" s="1" t="str">
        <f>"3_890-11/2024/Л"</f>
        <v>3_890-11/2024/Л</v>
      </c>
      <c r="B3114" s="6">
        <v>45625</v>
      </c>
      <c r="C3114" s="1" t="str">
        <f>"33"</f>
        <v>33</v>
      </c>
      <c r="D3114" s="2" t="str">
        <f>"33 Довідки різного характеру"</f>
        <v>33 Довідки різного характеру</v>
      </c>
      <c r="E3114" s="1" t="s">
        <v>20</v>
      </c>
      <c r="F311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14" s="1" t="str">
        <f t="shared" ref="G3114:G3160" si="455">"Фізична особа"</f>
        <v>Фізична особа</v>
      </c>
      <c r="H3114" s="1" t="s">
        <v>20</v>
      </c>
      <c r="I3114" s="1" t="s">
        <v>20</v>
      </c>
      <c r="J3114" s="1" t="str">
        <f>"Закрито"</f>
        <v>Закрито</v>
      </c>
      <c r="K3114" s="5">
        <v>45625</v>
      </c>
      <c r="L3114" s="1" t="s">
        <v>20</v>
      </c>
      <c r="M3114" s="1" t="s">
        <v>22</v>
      </c>
      <c r="N3114" s="5">
        <v>45625</v>
      </c>
    </row>
    <row r="3115" spans="1:14" x14ac:dyDescent="0.3">
      <c r="A3115" s="1" t="str">
        <f>"9_1742/04054323-11/2024/Б"</f>
        <v>9_1742/04054323-11/2024/Б</v>
      </c>
      <c r="B3115" s="6">
        <v>45625</v>
      </c>
      <c r="C3115" s="1" t="str">
        <f>"01"</f>
        <v>01</v>
      </c>
      <c r="D3115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3115" s="1" t="str">
        <f>"04054323"</f>
        <v>04054323</v>
      </c>
      <c r="F3115" s="1" t="str">
        <f>"Рогатинська міська рада"</f>
        <v>Рогатинська міська рада</v>
      </c>
      <c r="G3115" s="1" t="str">
        <f t="shared" si="455"/>
        <v>Фізична особа</v>
      </c>
      <c r="H3115" s="1" t="s">
        <v>20</v>
      </c>
      <c r="I3115" s="1" t="s">
        <v>20</v>
      </c>
      <c r="J3115" s="1" t="str">
        <f>"На обробці в СНАП"</f>
        <v>На обробці в СНАП</v>
      </c>
      <c r="K3115" s="1" t="s">
        <v>20</v>
      </c>
      <c r="L3115" s="1" t="s">
        <v>20</v>
      </c>
      <c r="M3115" s="1" t="s">
        <v>22</v>
      </c>
      <c r="N3115" s="1" t="s">
        <v>20</v>
      </c>
    </row>
    <row r="3116" spans="1:14" x14ac:dyDescent="0.3">
      <c r="A3116" s="1" t="str">
        <f>"1_6103/2129-11/2024/С"</f>
        <v>1_6103/2129-11/2024/С</v>
      </c>
      <c r="B3116" s="6">
        <v>45625</v>
      </c>
      <c r="C3116" s="1" t="str">
        <f>"33"</f>
        <v>33</v>
      </c>
      <c r="D3116" s="2" t="str">
        <f>"33 Довідки різного характеру"</f>
        <v>33 Довідки різного характеру</v>
      </c>
      <c r="E3116" s="1" t="s">
        <v>20</v>
      </c>
      <c r="F311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16" s="1" t="str">
        <f t="shared" si="455"/>
        <v>Фізична особа</v>
      </c>
      <c r="H3116" s="1" t="s">
        <v>20</v>
      </c>
      <c r="I3116" s="1" t="s">
        <v>20</v>
      </c>
      <c r="J3116" s="1" t="str">
        <f>"Закрито"</f>
        <v>Закрито</v>
      </c>
      <c r="K3116" s="5">
        <v>45625</v>
      </c>
      <c r="L3116" s="1" t="s">
        <v>20</v>
      </c>
      <c r="M3116" s="1" t="s">
        <v>22</v>
      </c>
      <c r="N3116" s="5">
        <v>45625</v>
      </c>
    </row>
    <row r="3117" spans="1:14" x14ac:dyDescent="0.3">
      <c r="A3117" s="1" t="str">
        <f>"3_1448/4-11/2024/К"</f>
        <v>3_1448/4-11/2024/К</v>
      </c>
      <c r="B3117" s="6">
        <v>45625</v>
      </c>
      <c r="C3117" s="1" t="str">
        <f>"00060"</f>
        <v>00060</v>
      </c>
      <c r="D3117" s="2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117" s="1" t="s">
        <v>20</v>
      </c>
      <c r="F3117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117" s="1" t="str">
        <f t="shared" si="455"/>
        <v>Фізична особа</v>
      </c>
      <c r="H3117" s="1" t="s">
        <v>20</v>
      </c>
      <c r="I3117" s="1" t="s">
        <v>20</v>
      </c>
      <c r="J3117" s="1" t="str">
        <f>"Закрито"</f>
        <v>Закрито</v>
      </c>
      <c r="K3117" s="5">
        <v>45629</v>
      </c>
      <c r="L3117" s="1" t="str">
        <f>"151.4"</f>
        <v>151.4</v>
      </c>
      <c r="M3117" s="1" t="s">
        <v>22</v>
      </c>
      <c r="N3117" s="5">
        <v>45629</v>
      </c>
    </row>
    <row r="3118" spans="1:14" x14ac:dyDescent="0.3">
      <c r="A3118" s="1" t="str">
        <f>"3_1449/4-11/2024/${contragentFirstLetter}"</f>
        <v>3_1449/4-11/2024/${contragentFirstLetter}</v>
      </c>
      <c r="B3118" s="6">
        <v>45625</v>
      </c>
      <c r="C3118" s="1" t="str">
        <f>"00081"</f>
        <v>00081</v>
      </c>
      <c r="D3118" s="2" t="str">
        <f>"Виправлення технічної помилки у відомостях Державного земельного кадастру, допущеної не з вини органу, що здійснює його ведення"</f>
        <v>Виправлення технічної помилки у відомостях Державного земельного кадастру, допущеної не з вини органу, що здійснює його ведення</v>
      </c>
      <c r="E3118" s="1" t="s">
        <v>20</v>
      </c>
      <c r="F3118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118" s="1" t="str">
        <f t="shared" si="455"/>
        <v>Фізична особа</v>
      </c>
      <c r="H3118" s="1" t="s">
        <v>20</v>
      </c>
      <c r="I3118" s="1" t="s">
        <v>20</v>
      </c>
      <c r="J3118" s="1" t="str">
        <f>"Закрито"</f>
        <v>Закрито</v>
      </c>
      <c r="K3118" s="5">
        <v>45643</v>
      </c>
      <c r="L3118" s="1" t="str">
        <f>"30.28"</f>
        <v>30.28</v>
      </c>
      <c r="M3118" s="1" t="s">
        <v>22</v>
      </c>
      <c r="N3118" s="5">
        <v>45643</v>
      </c>
    </row>
    <row r="3119" spans="1:14" x14ac:dyDescent="0.3">
      <c r="A3119" s="1" t="str">
        <f>"9_1743/04054323-11/2024/Щ"</f>
        <v>9_1743/04054323-11/2024/Щ</v>
      </c>
      <c r="B3119" s="6">
        <v>45625</v>
      </c>
      <c r="C3119" s="1" t="str">
        <f>"011"</f>
        <v>011</v>
      </c>
      <c r="D3119" s="2" t="str">
        <f>"011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місцевості)"</f>
        <v>011 Видача рішення про надання дозволу на розроблення технічної документації із землеустрою щодо встановлення (відновлення) меж земельної ділянки в натурі (на місцевості)</v>
      </c>
      <c r="E3119" s="1" t="str">
        <f>"04054323"</f>
        <v>04054323</v>
      </c>
      <c r="F3119" s="1" t="str">
        <f>"Рогатинська міська рада"</f>
        <v>Рогатинська міська рада</v>
      </c>
      <c r="G3119" s="1" t="str">
        <f t="shared" si="455"/>
        <v>Фізична особа</v>
      </c>
      <c r="H3119" s="1" t="s">
        <v>20</v>
      </c>
      <c r="I3119" s="1" t="s">
        <v>20</v>
      </c>
      <c r="J3119" s="1" t="str">
        <f>"На обробці в СНАП"</f>
        <v>На обробці в СНАП</v>
      </c>
      <c r="K3119" s="1" t="s">
        <v>20</v>
      </c>
      <c r="L3119" s="1" t="s">
        <v>20</v>
      </c>
      <c r="M3119" s="1" t="s">
        <v>22</v>
      </c>
      <c r="N3119" s="1" t="s">
        <v>20</v>
      </c>
    </row>
    <row r="3120" spans="1:14" x14ac:dyDescent="0.3">
      <c r="A3120" s="1" t="str">
        <f>"25_453-11/2024/О"</f>
        <v>25_453-11/2024/О</v>
      </c>
      <c r="B3120" s="6">
        <v>45625</v>
      </c>
      <c r="C3120" s="1" t="str">
        <f>"00133"</f>
        <v>00133</v>
      </c>
      <c r="D3120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120" s="1" t="str">
        <f>"03193413"</f>
        <v>03193413</v>
      </c>
      <c r="F312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20" s="1" t="str">
        <f t="shared" si="455"/>
        <v>Фізична особа</v>
      </c>
      <c r="H3120" s="1" t="s">
        <v>20</v>
      </c>
      <c r="I3120" s="1" t="s">
        <v>20</v>
      </c>
      <c r="J3120" s="1" t="str">
        <f>"Результат підготовлено СНАП"</f>
        <v>Результат підготовлено СНАП</v>
      </c>
      <c r="K3120" s="5">
        <v>45632</v>
      </c>
      <c r="L3120" s="1" t="s">
        <v>20</v>
      </c>
      <c r="M3120" s="1" t="s">
        <v>22</v>
      </c>
      <c r="N3120" s="1" t="s">
        <v>20</v>
      </c>
    </row>
    <row r="3121" spans="1:14" x14ac:dyDescent="0.3">
      <c r="A3121" s="1" t="str">
        <f>"3_1450/4-11/2024/К"</f>
        <v>3_1450/4-11/2024/К</v>
      </c>
      <c r="B3121" s="6">
        <v>45625</v>
      </c>
      <c r="C3121" s="1" t="str">
        <f>"00081"</f>
        <v>00081</v>
      </c>
      <c r="D3121" s="2" t="str">
        <f>"Виправлення технічної помилки у відомостях Державного земельного кадастру, допущеної не з вини органу, що здійснює його ведення"</f>
        <v>Виправлення технічної помилки у відомостях Державного земельного кадастру, допущеної не з вини органу, що здійснює його ведення</v>
      </c>
      <c r="E3121" s="1" t="s">
        <v>20</v>
      </c>
      <c r="F3121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121" s="1" t="str">
        <f t="shared" si="455"/>
        <v>Фізична особа</v>
      </c>
      <c r="H3121" s="1" t="s">
        <v>20</v>
      </c>
      <c r="I3121" s="1" t="s">
        <v>20</v>
      </c>
      <c r="J3121" s="1" t="str">
        <f>"Закрито"</f>
        <v>Закрито</v>
      </c>
      <c r="K3121" s="5">
        <v>45643</v>
      </c>
      <c r="L3121" s="1" t="str">
        <f>"30.28"</f>
        <v>30.28</v>
      </c>
      <c r="M3121" s="1" t="s">
        <v>22</v>
      </c>
      <c r="N3121" s="5">
        <v>45643</v>
      </c>
    </row>
    <row r="3122" spans="1:14" x14ac:dyDescent="0.3">
      <c r="A3122" s="1" t="str">
        <f>"9_1744/04054323-11/2024/К"</f>
        <v>9_1744/04054323-11/2024/К</v>
      </c>
      <c r="B3122" s="6">
        <v>45625</v>
      </c>
      <c r="C3122" s="1" t="str">
        <f>"01"</f>
        <v>01</v>
      </c>
      <c r="D3122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3122" s="1" t="str">
        <f>"04054323"</f>
        <v>04054323</v>
      </c>
      <c r="F3122" s="1" t="str">
        <f>"Рогатинська міська рада"</f>
        <v>Рогатинська міська рада</v>
      </c>
      <c r="G3122" s="1" t="str">
        <f t="shared" si="455"/>
        <v>Фізична особа</v>
      </c>
      <c r="H3122" s="1" t="s">
        <v>20</v>
      </c>
      <c r="I3122" s="1" t="s">
        <v>20</v>
      </c>
      <c r="J3122" s="1" t="str">
        <f>"На обробці в СНАП"</f>
        <v>На обробці в СНАП</v>
      </c>
      <c r="K3122" s="1" t="s">
        <v>20</v>
      </c>
      <c r="L3122" s="1" t="s">
        <v>20</v>
      </c>
      <c r="M3122" s="1" t="s">
        <v>22</v>
      </c>
      <c r="N3122" s="1" t="s">
        <v>20</v>
      </c>
    </row>
    <row r="3123" spans="1:14" x14ac:dyDescent="0.3">
      <c r="A3123" s="1" t="str">
        <f>"9_578-11/2024/Г"</f>
        <v>9_578-11/2024/Г</v>
      </c>
      <c r="B3123" s="6">
        <v>45625</v>
      </c>
      <c r="C3123" s="1" t="str">
        <f>"00038"</f>
        <v>00038</v>
      </c>
      <c r="D312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23" s="1" t="s">
        <v>20</v>
      </c>
      <c r="F312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23" s="1" t="str">
        <f t="shared" si="455"/>
        <v>Фізична особа</v>
      </c>
      <c r="H3123" s="1" t="s">
        <v>20</v>
      </c>
      <c r="I3123" s="1" t="s">
        <v>20</v>
      </c>
      <c r="J3123" s="1" t="str">
        <f t="shared" ref="J3123:J3154" si="456">"Закрито"</f>
        <v>Закрито</v>
      </c>
      <c r="K3123" s="5">
        <v>45625</v>
      </c>
      <c r="L3123" s="1" t="s">
        <v>20</v>
      </c>
      <c r="M3123" s="1" t="s">
        <v>22</v>
      </c>
      <c r="N3123" s="5">
        <v>45625</v>
      </c>
    </row>
    <row r="3124" spans="1:14" x14ac:dyDescent="0.3">
      <c r="A3124" s="1" t="str">
        <f>"1_6104/4-11/2024/К"</f>
        <v>1_6104/4-11/2024/К</v>
      </c>
      <c r="B3124" s="6">
        <v>45625</v>
      </c>
      <c r="C3124" s="1" t="str">
        <f>"00081"</f>
        <v>00081</v>
      </c>
      <c r="D3124" s="2" t="str">
        <f>"Виправлення технічної помилки у відомостях Державного земельного кадастру, допущеної не з вини органу, що здійснює його ведення"</f>
        <v>Виправлення технічної помилки у відомостях Державного земельного кадастру, допущеної не з вини органу, що здійснює його ведення</v>
      </c>
      <c r="E3124" s="1" t="s">
        <v>20</v>
      </c>
      <c r="F3124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124" s="1" t="str">
        <f t="shared" si="455"/>
        <v>Фізична особа</v>
      </c>
      <c r="H3124" s="1" t="s">
        <v>20</v>
      </c>
      <c r="I3124" s="1" t="s">
        <v>20</v>
      </c>
      <c r="J3124" s="1" t="str">
        <f t="shared" si="456"/>
        <v>Закрито</v>
      </c>
      <c r="K3124" s="5">
        <v>45625</v>
      </c>
      <c r="L3124" s="1" t="str">
        <f>"30.28"</f>
        <v>30.28</v>
      </c>
      <c r="M3124" s="1" t="s">
        <v>22</v>
      </c>
      <c r="N3124" s="5">
        <v>45625</v>
      </c>
    </row>
    <row r="3125" spans="1:14" x14ac:dyDescent="0.3">
      <c r="A3125" s="1" t="str">
        <f>"1_6105/2129-11/2024/М"</f>
        <v>1_6105/2129-11/2024/М</v>
      </c>
      <c r="B3125" s="6">
        <v>45625</v>
      </c>
      <c r="C3125" s="1" t="str">
        <f>"00038"</f>
        <v>00038</v>
      </c>
      <c r="D312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25" s="1" t="s">
        <v>20</v>
      </c>
      <c r="F312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25" s="1" t="str">
        <f t="shared" si="455"/>
        <v>Фізична особа</v>
      </c>
      <c r="H3125" s="1" t="s">
        <v>20</v>
      </c>
      <c r="I3125" s="1" t="s">
        <v>20</v>
      </c>
      <c r="J3125" s="1" t="str">
        <f t="shared" si="456"/>
        <v>Закрито</v>
      </c>
      <c r="K3125" s="5">
        <v>45625</v>
      </c>
      <c r="L3125" s="1" t="s">
        <v>20</v>
      </c>
      <c r="M3125" s="1" t="s">
        <v>22</v>
      </c>
      <c r="N3125" s="5">
        <v>45625</v>
      </c>
    </row>
    <row r="3126" spans="1:14" x14ac:dyDescent="0.3">
      <c r="A3126" s="1" t="str">
        <f>"1_6106/2129-11/2024/С"</f>
        <v>1_6106/2129-11/2024/С</v>
      </c>
      <c r="B3126" s="6">
        <v>45625</v>
      </c>
      <c r="C3126" s="1" t="str">
        <f>"00038"</f>
        <v>00038</v>
      </c>
      <c r="D312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26" s="1" t="s">
        <v>20</v>
      </c>
      <c r="F312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26" s="1" t="str">
        <f t="shared" si="455"/>
        <v>Фізична особа</v>
      </c>
      <c r="H3126" s="1" t="s">
        <v>20</v>
      </c>
      <c r="I3126" s="1" t="s">
        <v>20</v>
      </c>
      <c r="J3126" s="1" t="str">
        <f t="shared" si="456"/>
        <v>Закрито</v>
      </c>
      <c r="K3126" s="5">
        <v>45625</v>
      </c>
      <c r="L3126" s="1" t="s">
        <v>20</v>
      </c>
      <c r="M3126" s="1" t="s">
        <v>22</v>
      </c>
      <c r="N3126" s="5">
        <v>45625</v>
      </c>
    </row>
    <row r="3127" spans="1:14" x14ac:dyDescent="0.3">
      <c r="A3127" s="1" t="str">
        <f>"20_192-11/2024/Л"</f>
        <v>20_192-11/2024/Л</v>
      </c>
      <c r="B3127" s="6">
        <v>45625</v>
      </c>
      <c r="C3127" s="1" t="str">
        <f>"33"</f>
        <v>33</v>
      </c>
      <c r="D3127" s="2" t="str">
        <f>"33 Довідки різного характеру"</f>
        <v>33 Довідки різного характеру</v>
      </c>
      <c r="E3127" s="1" t="s">
        <v>20</v>
      </c>
      <c r="F312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27" s="1" t="str">
        <f t="shared" si="455"/>
        <v>Фізична особа</v>
      </c>
      <c r="H3127" s="1" t="s">
        <v>20</v>
      </c>
      <c r="I3127" s="1" t="s">
        <v>20</v>
      </c>
      <c r="J3127" s="1" t="str">
        <f t="shared" si="456"/>
        <v>Закрито</v>
      </c>
      <c r="K3127" s="5">
        <v>45625</v>
      </c>
      <c r="L3127" s="1" t="s">
        <v>20</v>
      </c>
      <c r="M3127" s="1" t="s">
        <v>22</v>
      </c>
      <c r="N3127" s="5">
        <v>45625</v>
      </c>
    </row>
    <row r="3128" spans="1:14" x14ac:dyDescent="0.3">
      <c r="A3128" s="1" t="str">
        <f>"3_1451/4-11/2024/К"</f>
        <v>3_1451/4-11/2024/К</v>
      </c>
      <c r="B3128" s="6">
        <v>45625</v>
      </c>
      <c r="C3128" s="1" t="str">
        <f>"00081"</f>
        <v>00081</v>
      </c>
      <c r="D3128" s="2" t="str">
        <f>"Виправлення технічної помилки у відомостях Державного земельного кадастру, допущеної не з вини органу, що здійснює його ведення"</f>
        <v>Виправлення технічної помилки у відомостях Державного земельного кадастру, допущеної не з вини органу, що здійснює його ведення</v>
      </c>
      <c r="E3128" s="1" t="s">
        <v>20</v>
      </c>
      <c r="F3128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128" s="1" t="str">
        <f t="shared" si="455"/>
        <v>Фізична особа</v>
      </c>
      <c r="H3128" s="1" t="s">
        <v>20</v>
      </c>
      <c r="I3128" s="1" t="s">
        <v>20</v>
      </c>
      <c r="J3128" s="1" t="str">
        <f t="shared" si="456"/>
        <v>Закрито</v>
      </c>
      <c r="K3128" s="5">
        <v>45643</v>
      </c>
      <c r="L3128" s="1" t="str">
        <f>"30.28"</f>
        <v>30.28</v>
      </c>
      <c r="M3128" s="1" t="s">
        <v>22</v>
      </c>
      <c r="N3128" s="5">
        <v>45643</v>
      </c>
    </row>
    <row r="3129" spans="1:14" x14ac:dyDescent="0.3">
      <c r="A3129" s="1" t="str">
        <f>"20_193-11/2024/Р"</f>
        <v>20_193-11/2024/Р</v>
      </c>
      <c r="B3129" s="6">
        <v>45625</v>
      </c>
      <c r="C3129" s="1" t="str">
        <f>"33"</f>
        <v>33</v>
      </c>
      <c r="D3129" s="2" t="str">
        <f>"33 Довідки різного характеру"</f>
        <v>33 Довідки різного характеру</v>
      </c>
      <c r="E3129" s="1" t="s">
        <v>20</v>
      </c>
      <c r="F3129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29" s="1" t="str">
        <f t="shared" si="455"/>
        <v>Фізична особа</v>
      </c>
      <c r="H3129" s="1" t="s">
        <v>20</v>
      </c>
      <c r="I3129" s="1" t="s">
        <v>20</v>
      </c>
      <c r="J3129" s="1" t="str">
        <f t="shared" si="456"/>
        <v>Закрито</v>
      </c>
      <c r="K3129" s="5">
        <v>45625</v>
      </c>
      <c r="L3129" s="1" t="s">
        <v>20</v>
      </c>
      <c r="M3129" s="1" t="s">
        <v>22</v>
      </c>
      <c r="N3129" s="5">
        <v>45625</v>
      </c>
    </row>
    <row r="3130" spans="1:14" x14ac:dyDescent="0.3">
      <c r="A3130" s="1" t="str">
        <f>"1_6107/2129-11/2024/Ш"</f>
        <v>1_6107/2129-11/2024/Ш</v>
      </c>
      <c r="B3130" s="6">
        <v>45625</v>
      </c>
      <c r="C3130" s="1" t="str">
        <f>"00038"</f>
        <v>00038</v>
      </c>
      <c r="D313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30" s="1" t="s">
        <v>20</v>
      </c>
      <c r="F3130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30" s="1" t="str">
        <f t="shared" si="455"/>
        <v>Фізична особа</v>
      </c>
      <c r="H3130" s="1" t="s">
        <v>20</v>
      </c>
      <c r="I3130" s="1" t="s">
        <v>20</v>
      </c>
      <c r="J3130" s="1" t="str">
        <f t="shared" si="456"/>
        <v>Закрито</v>
      </c>
      <c r="K3130" s="5">
        <v>45625</v>
      </c>
      <c r="L3130" s="1" t="s">
        <v>20</v>
      </c>
      <c r="M3130" s="1" t="s">
        <v>22</v>
      </c>
      <c r="N3130" s="5">
        <v>45625</v>
      </c>
    </row>
    <row r="3131" spans="1:14" x14ac:dyDescent="0.3">
      <c r="A3131" s="1" t="str">
        <f>"3_1452/4-11/2024/К"</f>
        <v>3_1452/4-11/2024/К</v>
      </c>
      <c r="B3131" s="6">
        <v>45625</v>
      </c>
      <c r="C3131" s="1" t="str">
        <f>"00081"</f>
        <v>00081</v>
      </c>
      <c r="D3131" s="2" t="str">
        <f>"Виправлення технічної помилки у відомостях Державного земельного кадастру, допущеної не з вини органу, що здійснює його ведення"</f>
        <v>Виправлення технічної помилки у відомостях Державного земельного кадастру, допущеної не з вини органу, що здійснює його ведення</v>
      </c>
      <c r="E3131" s="1" t="s">
        <v>20</v>
      </c>
      <c r="F3131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131" s="1" t="str">
        <f t="shared" si="455"/>
        <v>Фізична особа</v>
      </c>
      <c r="H3131" s="1" t="s">
        <v>20</v>
      </c>
      <c r="I3131" s="1" t="s">
        <v>20</v>
      </c>
      <c r="J3131" s="1" t="str">
        <f t="shared" si="456"/>
        <v>Закрито</v>
      </c>
      <c r="K3131" s="5">
        <v>45643</v>
      </c>
      <c r="L3131" s="1" t="str">
        <f>"30.28"</f>
        <v>30.28</v>
      </c>
      <c r="M3131" s="1" t="s">
        <v>22</v>
      </c>
      <c r="N3131" s="5">
        <v>45643</v>
      </c>
    </row>
    <row r="3132" spans="1:14" x14ac:dyDescent="0.3">
      <c r="A3132" s="1" t="str">
        <f>"20_194-11/2024/Б"</f>
        <v>20_194-11/2024/Б</v>
      </c>
      <c r="B3132" s="6">
        <v>45625</v>
      </c>
      <c r="C3132" s="1" t="str">
        <f>"00038"</f>
        <v>00038</v>
      </c>
      <c r="D313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32" s="1" t="s">
        <v>20</v>
      </c>
      <c r="F313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32" s="1" t="str">
        <f t="shared" si="455"/>
        <v>Фізична особа</v>
      </c>
      <c r="H3132" s="1" t="s">
        <v>20</v>
      </c>
      <c r="I3132" s="1" t="s">
        <v>20</v>
      </c>
      <c r="J3132" s="1" t="str">
        <f t="shared" si="456"/>
        <v>Закрито</v>
      </c>
      <c r="K3132" s="5">
        <v>45625</v>
      </c>
      <c r="L3132" s="1" t="s">
        <v>20</v>
      </c>
      <c r="M3132" s="1" t="s">
        <v>22</v>
      </c>
      <c r="N3132" s="5">
        <v>45625</v>
      </c>
    </row>
    <row r="3133" spans="1:14" x14ac:dyDescent="0.3">
      <c r="A3133" s="1" t="str">
        <f>"3_1453/4-11/2024/К"</f>
        <v>3_1453/4-11/2024/К</v>
      </c>
      <c r="B3133" s="6">
        <v>45625</v>
      </c>
      <c r="C3133" s="1" t="str">
        <f>"00081"</f>
        <v>00081</v>
      </c>
      <c r="D3133" s="2" t="str">
        <f>"Виправлення технічної помилки у відомостях Державного земельного кадастру, допущеної не з вини органу, що здійснює його ведення"</f>
        <v>Виправлення технічної помилки у відомостях Державного земельного кадастру, допущеної не з вини органу, що здійснює його ведення</v>
      </c>
      <c r="E3133" s="1" t="s">
        <v>20</v>
      </c>
      <c r="F3133" s="1" t="str">
        <f>"Відділ у м.Рогатин Управління в Івано-Франківському районі Головного управління Держгеокадастру в Івано-Франківській області"</f>
        <v>Відділ у м.Рогатин Управління в Івано-Франківському районі Головного управління Держгеокадастру в Івано-Франківській області</v>
      </c>
      <c r="G3133" s="1" t="str">
        <f t="shared" si="455"/>
        <v>Фізична особа</v>
      </c>
      <c r="H3133" s="1" t="s">
        <v>20</v>
      </c>
      <c r="I3133" s="1" t="s">
        <v>20</v>
      </c>
      <c r="J3133" s="1" t="str">
        <f t="shared" si="456"/>
        <v>Закрито</v>
      </c>
      <c r="K3133" s="5">
        <v>45643</v>
      </c>
      <c r="L3133" s="1" t="str">
        <f>"30.28"</f>
        <v>30.28</v>
      </c>
      <c r="M3133" s="1" t="s">
        <v>22</v>
      </c>
      <c r="N3133" s="5">
        <v>45643</v>
      </c>
    </row>
    <row r="3134" spans="1:14" x14ac:dyDescent="0.3">
      <c r="A3134" s="1" t="str">
        <f>"20_195-11/2024/Б"</f>
        <v>20_195-11/2024/Б</v>
      </c>
      <c r="B3134" s="6">
        <v>45625</v>
      </c>
      <c r="C3134" s="1" t="str">
        <f>"00038"</f>
        <v>00038</v>
      </c>
      <c r="D313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34" s="1" t="s">
        <v>20</v>
      </c>
      <c r="F313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34" s="1" t="str">
        <f t="shared" si="455"/>
        <v>Фізична особа</v>
      </c>
      <c r="H3134" s="1" t="s">
        <v>20</v>
      </c>
      <c r="I3134" s="1" t="s">
        <v>20</v>
      </c>
      <c r="J3134" s="1" t="str">
        <f t="shared" si="456"/>
        <v>Закрито</v>
      </c>
      <c r="K3134" s="5">
        <v>45625</v>
      </c>
      <c r="L3134" s="1" t="s">
        <v>20</v>
      </c>
      <c r="M3134" s="1" t="s">
        <v>22</v>
      </c>
      <c r="N3134" s="5">
        <v>45625</v>
      </c>
    </row>
    <row r="3135" spans="1:14" x14ac:dyDescent="0.3">
      <c r="A3135" s="1" t="str">
        <f>"20_196-11/2024/Б"</f>
        <v>20_196-11/2024/Б</v>
      </c>
      <c r="B3135" s="6">
        <v>45625</v>
      </c>
      <c r="C3135" s="1" t="str">
        <f>"00038"</f>
        <v>00038</v>
      </c>
      <c r="D313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35" s="1" t="s">
        <v>20</v>
      </c>
      <c r="F313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35" s="1" t="str">
        <f t="shared" si="455"/>
        <v>Фізична особа</v>
      </c>
      <c r="H3135" s="1" t="s">
        <v>20</v>
      </c>
      <c r="I3135" s="1" t="s">
        <v>20</v>
      </c>
      <c r="J3135" s="1" t="str">
        <f t="shared" si="456"/>
        <v>Закрито</v>
      </c>
      <c r="K3135" s="5">
        <v>45625</v>
      </c>
      <c r="L3135" s="1" t="s">
        <v>20</v>
      </c>
      <c r="M3135" s="1" t="s">
        <v>22</v>
      </c>
      <c r="N3135" s="5">
        <v>45625</v>
      </c>
    </row>
    <row r="3136" spans="1:14" x14ac:dyDescent="0.3">
      <c r="A3136" s="1" t="str">
        <f>"20_197-11/2024/Б"</f>
        <v>20_197-11/2024/Б</v>
      </c>
      <c r="B3136" s="6">
        <v>45625</v>
      </c>
      <c r="C3136" s="1" t="str">
        <f>"01974"</f>
        <v>01974</v>
      </c>
      <c r="D3136" s="2" t="str">
        <f>"Призначення пільги на оплату житла, комунальних послуг"</f>
        <v>Призначення пільги на оплату житла, комунальних послуг</v>
      </c>
      <c r="E3136" s="1" t="str">
        <f>"03193413"</f>
        <v>03193413</v>
      </c>
      <c r="F313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36" s="1" t="str">
        <f t="shared" si="455"/>
        <v>Фізична особа</v>
      </c>
      <c r="H3136" s="1" t="s">
        <v>20</v>
      </c>
      <c r="I3136" s="1" t="s">
        <v>20</v>
      </c>
      <c r="J3136" s="1" t="str">
        <f t="shared" si="456"/>
        <v>Закрито</v>
      </c>
      <c r="K3136" s="5">
        <v>45632</v>
      </c>
      <c r="L3136" s="1" t="s">
        <v>20</v>
      </c>
      <c r="M3136" s="1" t="s">
        <v>22</v>
      </c>
      <c r="N3136" s="5">
        <v>45631</v>
      </c>
    </row>
    <row r="3137" spans="1:14" x14ac:dyDescent="0.3">
      <c r="A3137" s="1" t="str">
        <f>"20_198-11/2024/Б"</f>
        <v>20_198-11/2024/Б</v>
      </c>
      <c r="B3137" s="6">
        <v>45625</v>
      </c>
      <c r="C3137" s="1" t="str">
        <f>"33"</f>
        <v>33</v>
      </c>
      <c r="D3137" s="2" t="str">
        <f>"33 Довідки різного характеру"</f>
        <v>33 Довідки різного характеру</v>
      </c>
      <c r="E3137" s="1" t="s">
        <v>20</v>
      </c>
      <c r="F3137" s="1" t="str">
        <f t="shared" ref="F3137:F3150" si="457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37" s="1" t="str">
        <f t="shared" si="455"/>
        <v>Фізична особа</v>
      </c>
      <c r="H3137" s="1" t="s">
        <v>20</v>
      </c>
      <c r="I3137" s="1" t="s">
        <v>20</v>
      </c>
      <c r="J3137" s="1" t="str">
        <f t="shared" si="456"/>
        <v>Закрито</v>
      </c>
      <c r="K3137" s="5">
        <v>45625</v>
      </c>
      <c r="L3137" s="1" t="s">
        <v>20</v>
      </c>
      <c r="M3137" s="1" t="s">
        <v>22</v>
      </c>
      <c r="N3137" s="5">
        <v>45625</v>
      </c>
    </row>
    <row r="3138" spans="1:14" x14ac:dyDescent="0.3">
      <c r="A3138" s="1" t="str">
        <f>"15_362-11/2024/Ж"</f>
        <v>15_362-11/2024/Ж</v>
      </c>
      <c r="B3138" s="6">
        <v>45625</v>
      </c>
      <c r="C3138" s="1" t="str">
        <f>"01296"</f>
        <v>01296</v>
      </c>
      <c r="D3138" s="2" t="str">
        <f>"Видача довідки про проживання без реєстрації"</f>
        <v>Видача довідки про проживання без реєстрації</v>
      </c>
      <c r="E3138" s="1" t="s">
        <v>20</v>
      </c>
      <c r="F3138" s="1" t="str">
        <f t="shared" si="457"/>
        <v>Центр надання адміністративних послуг Рогатинської міської ради</v>
      </c>
      <c r="G3138" s="1" t="str">
        <f t="shared" si="455"/>
        <v>Фізична особа</v>
      </c>
      <c r="H3138" s="1" t="s">
        <v>20</v>
      </c>
      <c r="I3138" s="1" t="s">
        <v>20</v>
      </c>
      <c r="J3138" s="1" t="str">
        <f t="shared" si="456"/>
        <v>Закрито</v>
      </c>
      <c r="K3138" s="5">
        <v>45625</v>
      </c>
      <c r="L3138" s="1" t="s">
        <v>20</v>
      </c>
      <c r="M3138" s="1" t="s">
        <v>22</v>
      </c>
      <c r="N3138" s="5">
        <v>45625</v>
      </c>
    </row>
    <row r="3139" spans="1:14" x14ac:dyDescent="0.3">
      <c r="A3139" s="1" t="str">
        <f>"1_6108/2129-11/2024/М"</f>
        <v>1_6108/2129-11/2024/М</v>
      </c>
      <c r="B3139" s="6">
        <v>45625</v>
      </c>
      <c r="C3139" s="1" t="str">
        <f>"00038"</f>
        <v>00038</v>
      </c>
      <c r="D313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39" s="1" t="s">
        <v>20</v>
      </c>
      <c r="F3139" s="1" t="str">
        <f t="shared" si="457"/>
        <v>Центр надання адміністративних послуг Рогатинської міської ради</v>
      </c>
      <c r="G3139" s="1" t="str">
        <f t="shared" si="455"/>
        <v>Фізична особа</v>
      </c>
      <c r="H3139" s="1" t="s">
        <v>20</v>
      </c>
      <c r="I3139" s="1" t="s">
        <v>20</v>
      </c>
      <c r="J3139" s="1" t="str">
        <f t="shared" si="456"/>
        <v>Закрито</v>
      </c>
      <c r="K3139" s="5">
        <v>45625</v>
      </c>
      <c r="L3139" s="1" t="s">
        <v>20</v>
      </c>
      <c r="M3139" s="1" t="s">
        <v>22</v>
      </c>
      <c r="N3139" s="5">
        <v>45625</v>
      </c>
    </row>
    <row r="3140" spans="1:14" x14ac:dyDescent="0.3">
      <c r="A3140" s="1" t="str">
        <f>"1_6109/2129-11/2024/С"</f>
        <v>1_6109/2129-11/2024/С</v>
      </c>
      <c r="B3140" s="6">
        <v>45625</v>
      </c>
      <c r="C3140" s="1" t="str">
        <f>"00038"</f>
        <v>00038</v>
      </c>
      <c r="D314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40" s="1" t="s">
        <v>20</v>
      </c>
      <c r="F3140" s="1" t="str">
        <f t="shared" si="457"/>
        <v>Центр надання адміністративних послуг Рогатинської міської ради</v>
      </c>
      <c r="G3140" s="1" t="str">
        <f t="shared" si="455"/>
        <v>Фізична особа</v>
      </c>
      <c r="H3140" s="1" t="s">
        <v>20</v>
      </c>
      <c r="I3140" s="1" t="s">
        <v>20</v>
      </c>
      <c r="J3140" s="1" t="str">
        <f t="shared" si="456"/>
        <v>Закрито</v>
      </c>
      <c r="K3140" s="5">
        <v>45625</v>
      </c>
      <c r="L3140" s="1" t="s">
        <v>20</v>
      </c>
      <c r="M3140" s="1" t="s">
        <v>22</v>
      </c>
      <c r="N3140" s="5">
        <v>45625</v>
      </c>
    </row>
    <row r="3141" spans="1:14" x14ac:dyDescent="0.3">
      <c r="A3141" s="1" t="str">
        <f>"2_2173/2129-11/2024/Я"</f>
        <v>2_2173/2129-11/2024/Я</v>
      </c>
      <c r="B3141" s="6">
        <v>45625</v>
      </c>
      <c r="C3141" s="1" t="str">
        <f>"00041"</f>
        <v>00041</v>
      </c>
      <c r="D3141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141" s="1" t="s">
        <v>20</v>
      </c>
      <c r="F3141" s="1" t="str">
        <f t="shared" si="457"/>
        <v>Центр надання адміністративних послуг Рогатинської міської ради</v>
      </c>
      <c r="G3141" s="1" t="str">
        <f t="shared" si="455"/>
        <v>Фізична особа</v>
      </c>
      <c r="H3141" s="1" t="s">
        <v>20</v>
      </c>
      <c r="I3141" s="1" t="s">
        <v>20</v>
      </c>
      <c r="J3141" s="1" t="str">
        <f t="shared" si="456"/>
        <v>Закрито</v>
      </c>
      <c r="K3141" s="5">
        <v>45631</v>
      </c>
      <c r="L3141" s="1" t="s">
        <v>20</v>
      </c>
      <c r="M3141" s="1" t="s">
        <v>22</v>
      </c>
      <c r="N3141" s="5">
        <v>45631</v>
      </c>
    </row>
    <row r="3142" spans="1:14" x14ac:dyDescent="0.3">
      <c r="A3142" s="1" t="str">
        <f>"1_6110/2129-11/2024/М"</f>
        <v>1_6110/2129-11/2024/М</v>
      </c>
      <c r="B3142" s="6">
        <v>45625</v>
      </c>
      <c r="C3142" s="1" t="str">
        <f>"00038"</f>
        <v>00038</v>
      </c>
      <c r="D314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42" s="1" t="s">
        <v>20</v>
      </c>
      <c r="F3142" s="1" t="str">
        <f t="shared" si="457"/>
        <v>Центр надання адміністративних послуг Рогатинської міської ради</v>
      </c>
      <c r="G3142" s="1" t="str">
        <f t="shared" si="455"/>
        <v>Фізична особа</v>
      </c>
      <c r="H3142" s="1" t="s">
        <v>20</v>
      </c>
      <c r="I3142" s="1" t="s">
        <v>20</v>
      </c>
      <c r="J3142" s="1" t="str">
        <f t="shared" si="456"/>
        <v>Закрито</v>
      </c>
      <c r="K3142" s="5">
        <v>45625</v>
      </c>
      <c r="L3142" s="1" t="s">
        <v>20</v>
      </c>
      <c r="M3142" s="1" t="s">
        <v>22</v>
      </c>
      <c r="N3142" s="5">
        <v>45625</v>
      </c>
    </row>
    <row r="3143" spans="1:14" x14ac:dyDescent="0.3">
      <c r="A3143" s="1" t="str">
        <f>"1_6111/2129-11/2024/С"</f>
        <v>1_6111/2129-11/2024/С</v>
      </c>
      <c r="B3143" s="6">
        <v>45625</v>
      </c>
      <c r="C3143" s="1" t="str">
        <f>"00038"</f>
        <v>00038</v>
      </c>
      <c r="D314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43" s="1" t="s">
        <v>20</v>
      </c>
      <c r="F3143" s="1" t="str">
        <f t="shared" si="457"/>
        <v>Центр надання адміністративних послуг Рогатинської міської ради</v>
      </c>
      <c r="G3143" s="1" t="str">
        <f t="shared" si="455"/>
        <v>Фізична особа</v>
      </c>
      <c r="H3143" s="1" t="s">
        <v>20</v>
      </c>
      <c r="I3143" s="1" t="s">
        <v>20</v>
      </c>
      <c r="J3143" s="1" t="str">
        <f t="shared" si="456"/>
        <v>Закрито</v>
      </c>
      <c r="K3143" s="5">
        <v>45625</v>
      </c>
      <c r="L3143" s="1" t="s">
        <v>20</v>
      </c>
      <c r="M3143" s="1" t="s">
        <v>22</v>
      </c>
      <c r="N3143" s="5">
        <v>45625</v>
      </c>
    </row>
    <row r="3144" spans="1:14" x14ac:dyDescent="0.3">
      <c r="A3144" s="1" t="str">
        <f>"1_6112/2129-11/2024/Б"</f>
        <v>1_6112/2129-11/2024/Б</v>
      </c>
      <c r="B3144" s="6">
        <v>45625</v>
      </c>
      <c r="C3144" s="1" t="str">
        <f>"00038"</f>
        <v>00038</v>
      </c>
      <c r="D314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44" s="1" t="s">
        <v>20</v>
      </c>
      <c r="F3144" s="1" t="str">
        <f t="shared" si="457"/>
        <v>Центр надання адміністративних послуг Рогатинської міської ради</v>
      </c>
      <c r="G3144" s="1" t="str">
        <f t="shared" si="455"/>
        <v>Фізична особа</v>
      </c>
      <c r="H3144" s="1" t="s">
        <v>20</v>
      </c>
      <c r="I3144" s="1" t="s">
        <v>20</v>
      </c>
      <c r="J3144" s="1" t="str">
        <f t="shared" si="456"/>
        <v>Закрито</v>
      </c>
      <c r="K3144" s="5">
        <v>45625</v>
      </c>
      <c r="L3144" s="1" t="s">
        <v>20</v>
      </c>
      <c r="M3144" s="1" t="s">
        <v>22</v>
      </c>
      <c r="N3144" s="5">
        <v>45625</v>
      </c>
    </row>
    <row r="3145" spans="1:14" x14ac:dyDescent="0.3">
      <c r="A3145" s="1" t="str">
        <f>"1_6113/2129-11/2024/Б"</f>
        <v>1_6113/2129-11/2024/Б</v>
      </c>
      <c r="B3145" s="6">
        <v>45625</v>
      </c>
      <c r="C3145" s="1" t="str">
        <f>"00034"</f>
        <v>00034</v>
      </c>
      <c r="D3145" s="2" t="str">
        <f>"Реєстрація місця проживання"</f>
        <v>Реєстрація місця проживання</v>
      </c>
      <c r="E3145" s="1" t="s">
        <v>20</v>
      </c>
      <c r="F3145" s="1" t="str">
        <f t="shared" si="457"/>
        <v>Центр надання адміністративних послуг Рогатинської міської ради</v>
      </c>
      <c r="G3145" s="1" t="str">
        <f t="shared" si="455"/>
        <v>Фізична особа</v>
      </c>
      <c r="H3145" s="1" t="s">
        <v>20</v>
      </c>
      <c r="I3145" s="1" t="s">
        <v>20</v>
      </c>
      <c r="J3145" s="1" t="str">
        <f t="shared" si="456"/>
        <v>Закрито</v>
      </c>
      <c r="K3145" s="5">
        <v>45625</v>
      </c>
      <c r="L3145" s="1" t="str">
        <f>"45.42"</f>
        <v>45.42</v>
      </c>
      <c r="M3145" s="1" t="s">
        <v>22</v>
      </c>
      <c r="N3145" s="5">
        <v>45625</v>
      </c>
    </row>
    <row r="3146" spans="1:14" x14ac:dyDescent="0.3">
      <c r="A3146" s="1" t="str">
        <f>"1_6114/2129-11/2024/Б"</f>
        <v>1_6114/2129-11/2024/Б</v>
      </c>
      <c r="B3146" s="6">
        <v>45625</v>
      </c>
      <c r="C3146" s="1" t="str">
        <f>"00038"</f>
        <v>00038</v>
      </c>
      <c r="D3146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46" s="1" t="s">
        <v>20</v>
      </c>
      <c r="F3146" s="1" t="str">
        <f t="shared" si="457"/>
        <v>Центр надання адміністративних послуг Рогатинської міської ради</v>
      </c>
      <c r="G3146" s="1" t="str">
        <f t="shared" si="455"/>
        <v>Фізична особа</v>
      </c>
      <c r="H3146" s="1" t="s">
        <v>20</v>
      </c>
      <c r="I3146" s="1" t="s">
        <v>20</v>
      </c>
      <c r="J3146" s="1" t="str">
        <f t="shared" si="456"/>
        <v>Закрито</v>
      </c>
      <c r="K3146" s="5">
        <v>45625</v>
      </c>
      <c r="L3146" s="1" t="s">
        <v>20</v>
      </c>
      <c r="M3146" s="1" t="s">
        <v>22</v>
      </c>
      <c r="N3146" s="5">
        <v>45625</v>
      </c>
    </row>
    <row r="3147" spans="1:14" x14ac:dyDescent="0.3">
      <c r="A3147" s="1" t="str">
        <f>"1_6115/2129-11/2024/Б"</f>
        <v>1_6115/2129-11/2024/Б</v>
      </c>
      <c r="B3147" s="6">
        <v>45625</v>
      </c>
      <c r="C3147" s="1" t="str">
        <f>"01217"</f>
        <v>01217</v>
      </c>
      <c r="D3147" s="2" t="str">
        <f>"Реєстрація місця проживання дитини до 14 років"</f>
        <v>Реєстрація місця проживання дитини до 14 років</v>
      </c>
      <c r="E3147" s="1" t="s">
        <v>20</v>
      </c>
      <c r="F3147" s="1" t="str">
        <f t="shared" si="457"/>
        <v>Центр надання адміністративних послуг Рогатинської міської ради</v>
      </c>
      <c r="G3147" s="1" t="str">
        <f t="shared" si="455"/>
        <v>Фізична особа</v>
      </c>
      <c r="H3147" s="1" t="s">
        <v>20</v>
      </c>
      <c r="I3147" s="1" t="s">
        <v>20</v>
      </c>
      <c r="J3147" s="1" t="str">
        <f t="shared" si="456"/>
        <v>Закрито</v>
      </c>
      <c r="K3147" s="5">
        <v>45625</v>
      </c>
      <c r="L3147" s="1" t="str">
        <f>"45.42"</f>
        <v>45.42</v>
      </c>
      <c r="M3147" s="1" t="s">
        <v>22</v>
      </c>
      <c r="N3147" s="5">
        <v>45625</v>
      </c>
    </row>
    <row r="3148" spans="1:14" x14ac:dyDescent="0.3">
      <c r="A3148" s="1" t="str">
        <f>"1_6116/2129-11/2024/Б"</f>
        <v>1_6116/2129-11/2024/Б</v>
      </c>
      <c r="B3148" s="6">
        <v>45625</v>
      </c>
      <c r="C3148" s="1" t="str">
        <f>"00038"</f>
        <v>00038</v>
      </c>
      <c r="D314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48" s="1" t="s">
        <v>20</v>
      </c>
      <c r="F3148" s="1" t="str">
        <f t="shared" si="457"/>
        <v>Центр надання адміністративних послуг Рогатинської міської ради</v>
      </c>
      <c r="G3148" s="1" t="str">
        <f t="shared" si="455"/>
        <v>Фізична особа</v>
      </c>
      <c r="H3148" s="1" t="s">
        <v>20</v>
      </c>
      <c r="I3148" s="1" t="s">
        <v>20</v>
      </c>
      <c r="J3148" s="1" t="str">
        <f t="shared" si="456"/>
        <v>Закрито</v>
      </c>
      <c r="K3148" s="5">
        <v>45625</v>
      </c>
      <c r="L3148" s="1" t="s">
        <v>20</v>
      </c>
      <c r="M3148" s="1" t="s">
        <v>22</v>
      </c>
      <c r="N3148" s="5">
        <v>45625</v>
      </c>
    </row>
    <row r="3149" spans="1:14" x14ac:dyDescent="0.3">
      <c r="A3149" s="1" t="str">
        <f>"2_2174/2129-11/2024/Д"</f>
        <v>2_2174/2129-11/2024/Д</v>
      </c>
      <c r="B3149" s="6">
        <v>45625</v>
      </c>
      <c r="C3149" s="1" t="str">
        <f>"00041"</f>
        <v>00041</v>
      </c>
      <c r="D3149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149" s="1" t="s">
        <v>20</v>
      </c>
      <c r="F3149" s="1" t="str">
        <f t="shared" si="457"/>
        <v>Центр надання адміністративних послуг Рогатинської міської ради</v>
      </c>
      <c r="G3149" s="1" t="str">
        <f t="shared" si="455"/>
        <v>Фізична особа</v>
      </c>
      <c r="H3149" s="1" t="s">
        <v>20</v>
      </c>
      <c r="I3149" s="1" t="s">
        <v>20</v>
      </c>
      <c r="J3149" s="1" t="str">
        <f t="shared" si="456"/>
        <v>Закрито</v>
      </c>
      <c r="K3149" s="5">
        <v>45631</v>
      </c>
      <c r="L3149" s="1" t="s">
        <v>20</v>
      </c>
      <c r="M3149" s="1" t="s">
        <v>22</v>
      </c>
      <c r="N3149" s="5">
        <v>45631</v>
      </c>
    </row>
    <row r="3150" spans="1:14" x14ac:dyDescent="0.3">
      <c r="A3150" s="1" t="str">
        <f>"2_2175/2129-11/2024/Б"</f>
        <v>2_2175/2129-11/2024/Б</v>
      </c>
      <c r="B3150" s="6">
        <v>45625</v>
      </c>
      <c r="C3150" s="1" t="str">
        <f>"00041"</f>
        <v>00041</v>
      </c>
      <c r="D3150" s="2" t="str">
        <f>"Державна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будівництва"</f>
        <v>Державна реєстрація права власності на нерухоме майно, права довірчої власності як способу забезпечення виконання зобов’язання на нерухоме майно, об’єкт незавершеного будівництва</v>
      </c>
      <c r="E3150" s="1" t="s">
        <v>20</v>
      </c>
      <c r="F3150" s="1" t="str">
        <f t="shared" si="457"/>
        <v>Центр надання адміністративних послуг Рогатинської міської ради</v>
      </c>
      <c r="G3150" s="1" t="str">
        <f t="shared" si="455"/>
        <v>Фізична особа</v>
      </c>
      <c r="H3150" s="1" t="s">
        <v>20</v>
      </c>
      <c r="I3150" s="1" t="s">
        <v>20</v>
      </c>
      <c r="J3150" s="1" t="str">
        <f t="shared" si="456"/>
        <v>Закрито</v>
      </c>
      <c r="K3150" s="5">
        <v>45631</v>
      </c>
      <c r="L3150" s="1" t="s">
        <v>20</v>
      </c>
      <c r="M3150" s="1" t="s">
        <v>22</v>
      </c>
      <c r="N3150" s="5">
        <v>45631</v>
      </c>
    </row>
    <row r="3151" spans="1:14" x14ac:dyDescent="0.3">
      <c r="A3151" s="1" t="str">
        <f>"4_1319/03193413-11/2024/Г"</f>
        <v>4_1319/03193413-11/2024/Г</v>
      </c>
      <c r="B3151" s="6">
        <v>45625</v>
      </c>
      <c r="C3151" s="1" t="str">
        <f>"00133"</f>
        <v>00133</v>
      </c>
      <c r="D3151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151" s="1" t="str">
        <f>"03193413"</f>
        <v>03193413</v>
      </c>
      <c r="F3151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51" s="1" t="str">
        <f t="shared" si="455"/>
        <v>Фізична особа</v>
      </c>
      <c r="H3151" s="1" t="s">
        <v>20</v>
      </c>
      <c r="I3151" s="1" t="s">
        <v>20</v>
      </c>
      <c r="J3151" s="1" t="str">
        <f t="shared" si="456"/>
        <v>Закрито</v>
      </c>
      <c r="K3151" s="5">
        <v>45636</v>
      </c>
      <c r="L3151" s="1" t="s">
        <v>20</v>
      </c>
      <c r="M3151" s="1" t="s">
        <v>22</v>
      </c>
      <c r="N3151" s="5">
        <v>45636</v>
      </c>
    </row>
    <row r="3152" spans="1:14" x14ac:dyDescent="0.3">
      <c r="A3152" s="1" t="str">
        <f>"1_6117/2129-11/2024/Ш"</f>
        <v>1_6117/2129-11/2024/Ш</v>
      </c>
      <c r="B3152" s="6">
        <v>45625</v>
      </c>
      <c r="C3152" s="1" t="str">
        <f>"33"</f>
        <v>33</v>
      </c>
      <c r="D3152" s="2" t="str">
        <f>"33 Довідки різного характеру"</f>
        <v>33 Довідки різного характеру</v>
      </c>
      <c r="E3152" s="1" t="s">
        <v>20</v>
      </c>
      <c r="F315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52" s="1" t="str">
        <f t="shared" si="455"/>
        <v>Фізична особа</v>
      </c>
      <c r="H3152" s="1" t="s">
        <v>20</v>
      </c>
      <c r="I3152" s="1" t="s">
        <v>20</v>
      </c>
      <c r="J3152" s="1" t="str">
        <f t="shared" si="456"/>
        <v>Закрито</v>
      </c>
      <c r="K3152" s="5">
        <v>45625</v>
      </c>
      <c r="L3152" s="1" t="s">
        <v>20</v>
      </c>
      <c r="M3152" s="1" t="s">
        <v>22</v>
      </c>
      <c r="N3152" s="5">
        <v>45625</v>
      </c>
    </row>
    <row r="3153" spans="1:14" x14ac:dyDescent="0.3">
      <c r="A3153" s="1" t="str">
        <f>"2_2176/2129-11/2024/К"</f>
        <v>2_2176/2129-11/2024/К</v>
      </c>
      <c r="B3153" s="6">
        <v>45625</v>
      </c>
      <c r="C3153" s="1" t="str">
        <f>"00047"</f>
        <v>00047</v>
      </c>
      <c r="D3153" s="2" t="str">
        <f>"Надання інформації з Державного реєстру речових прав на нерухоме майно"</f>
        <v>Надання інформації з Державного реєстру речових прав на нерухоме майно</v>
      </c>
      <c r="E3153" s="1" t="s">
        <v>20</v>
      </c>
      <c r="F315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53" s="1" t="str">
        <f t="shared" si="455"/>
        <v>Фізична особа</v>
      </c>
      <c r="H3153" s="1" t="s">
        <v>20</v>
      </c>
      <c r="I3153" s="1" t="s">
        <v>20</v>
      </c>
      <c r="J3153" s="1" t="str">
        <f t="shared" si="456"/>
        <v>Закрито</v>
      </c>
      <c r="K3153" s="5">
        <v>45631</v>
      </c>
      <c r="L3153" s="1" t="s">
        <v>20</v>
      </c>
      <c r="M3153" s="1" t="s">
        <v>22</v>
      </c>
      <c r="N3153" s="5">
        <v>45631</v>
      </c>
    </row>
    <row r="3154" spans="1:14" x14ac:dyDescent="0.3">
      <c r="A3154" s="1" t="str">
        <f>"4_1320/03193413-11/2024/Г"</f>
        <v>4_1320/03193413-11/2024/Г</v>
      </c>
      <c r="B3154" s="6">
        <v>45625</v>
      </c>
      <c r="C3154" s="1" t="str">
        <f>"00150"</f>
        <v>00150</v>
      </c>
      <c r="D3154" s="2" t="str">
        <f>"Призначення державної допомоги на дітей одиноким матерям"</f>
        <v>Призначення державної допомоги на дітей одиноким матерям</v>
      </c>
      <c r="E3154" s="1" t="str">
        <f>"03193413"</f>
        <v>03193413</v>
      </c>
      <c r="F315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54" s="1" t="str">
        <f t="shared" si="455"/>
        <v>Фізична особа</v>
      </c>
      <c r="H3154" s="1" t="s">
        <v>20</v>
      </c>
      <c r="I3154" s="1" t="s">
        <v>20</v>
      </c>
      <c r="J3154" s="1" t="str">
        <f t="shared" si="456"/>
        <v>Закрито</v>
      </c>
      <c r="K3154" s="5">
        <v>45636</v>
      </c>
      <c r="L3154" s="1" t="s">
        <v>20</v>
      </c>
      <c r="M3154" s="1" t="s">
        <v>22</v>
      </c>
      <c r="N3154" s="5">
        <v>45636</v>
      </c>
    </row>
    <row r="3155" spans="1:14" x14ac:dyDescent="0.3">
      <c r="A3155" s="1" t="str">
        <f>"4_1321/03193413-11/2024/Г"</f>
        <v>4_1321/03193413-11/2024/Г</v>
      </c>
      <c r="B3155" s="6">
        <v>45625</v>
      </c>
      <c r="C3155" s="1" t="str">
        <f>"00139"</f>
        <v>00139</v>
      </c>
      <c r="D3155" s="2" t="str">
        <f>"Прийняття рішення про надання соціальних послуг"</f>
        <v>Прийняття рішення про надання соціальних послуг</v>
      </c>
      <c r="E3155" s="1" t="str">
        <f>"03193413"</f>
        <v>03193413</v>
      </c>
      <c r="F315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55" s="1" t="str">
        <f t="shared" si="455"/>
        <v>Фізична особа</v>
      </c>
      <c r="H3155" s="1" t="s">
        <v>20</v>
      </c>
      <c r="I3155" s="1" t="s">
        <v>20</v>
      </c>
      <c r="J3155" s="1" t="str">
        <f>"На обробці в СНАП"</f>
        <v>На обробці в СНАП</v>
      </c>
      <c r="K3155" s="1" t="s">
        <v>20</v>
      </c>
      <c r="L3155" s="1" t="s">
        <v>20</v>
      </c>
      <c r="M3155" s="1" t="s">
        <v>22</v>
      </c>
      <c r="N3155" s="1" t="s">
        <v>20</v>
      </c>
    </row>
    <row r="3156" spans="1:14" x14ac:dyDescent="0.3">
      <c r="A3156" s="1" t="str">
        <f>"7_267/2129-11/2024/С"</f>
        <v>7_267/2129-11/2024/С</v>
      </c>
      <c r="B3156" s="6">
        <v>45625</v>
      </c>
      <c r="C3156" s="1" t="str">
        <f>"02022"</f>
        <v>02022</v>
      </c>
      <c r="D3156" s="2" t="str">
        <f>"Видача довідки про членство в особистому селянському господарстві"</f>
        <v>Видача довідки про членство в особистому селянському господарстві</v>
      </c>
      <c r="E3156" s="1" t="s">
        <v>20</v>
      </c>
      <c r="F3156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56" s="1" t="str">
        <f t="shared" si="455"/>
        <v>Фізична особа</v>
      </c>
      <c r="H3156" s="1" t="s">
        <v>20</v>
      </c>
      <c r="I3156" s="1" t="s">
        <v>20</v>
      </c>
      <c r="J3156" s="1" t="str">
        <f t="shared" ref="J3156:J3165" si="458">"Закрито"</f>
        <v>Закрито</v>
      </c>
      <c r="K3156" s="5">
        <v>45625</v>
      </c>
      <c r="L3156" s="1" t="s">
        <v>20</v>
      </c>
      <c r="M3156" s="1" t="s">
        <v>22</v>
      </c>
      <c r="N3156" s="5">
        <v>45625</v>
      </c>
    </row>
    <row r="3157" spans="1:14" x14ac:dyDescent="0.3">
      <c r="A3157" s="1" t="str">
        <f>"4_1322/03193413-11/2024/М"</f>
        <v>4_1322/03193413-11/2024/М</v>
      </c>
      <c r="B3157" s="6">
        <v>45625</v>
      </c>
      <c r="C3157" s="1" t="str">
        <f>"00103"</f>
        <v>00103</v>
      </c>
      <c r="D3157" s="2" t="s">
        <v>1</v>
      </c>
      <c r="E3157" s="1" t="str">
        <f>"03193413"</f>
        <v>03193413</v>
      </c>
      <c r="F315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57" s="1" t="str">
        <f t="shared" si="455"/>
        <v>Фізична особа</v>
      </c>
      <c r="H3157" s="1" t="s">
        <v>20</v>
      </c>
      <c r="I3157" s="1" t="s">
        <v>20</v>
      </c>
      <c r="J3157" s="1" t="str">
        <f t="shared" si="458"/>
        <v>Закрито</v>
      </c>
      <c r="K3157" s="5">
        <v>45636</v>
      </c>
      <c r="L3157" s="1" t="s">
        <v>20</v>
      </c>
      <c r="M3157" s="1" t="s">
        <v>22</v>
      </c>
      <c r="N3157" s="5">
        <v>45636</v>
      </c>
    </row>
    <row r="3158" spans="1:14" x14ac:dyDescent="0.3">
      <c r="A3158" s="1" t="str">
        <f>"1_6118/2129-11/2024/М"</f>
        <v>1_6118/2129-11/2024/М</v>
      </c>
      <c r="B3158" s="6">
        <v>45625</v>
      </c>
      <c r="C3158" s="1" t="str">
        <f>"00037"</f>
        <v>00037</v>
      </c>
      <c r="D3158" s="2" t="str">
        <f>"Зняття з реєстрації місця проживання"</f>
        <v>Зняття з реєстрації місця проживання</v>
      </c>
      <c r="E3158" s="1" t="s">
        <v>20</v>
      </c>
      <c r="F3158" s="1" t="str">
        <f t="shared" ref="F3158:F3165" si="459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58" s="1" t="str">
        <f t="shared" si="455"/>
        <v>Фізична особа</v>
      </c>
      <c r="H3158" s="1" t="s">
        <v>20</v>
      </c>
      <c r="I3158" s="1" t="s">
        <v>20</v>
      </c>
      <c r="J3158" s="1" t="str">
        <f t="shared" si="458"/>
        <v>Закрито</v>
      </c>
      <c r="K3158" s="5">
        <v>45625</v>
      </c>
      <c r="L3158" s="1" t="str">
        <f>"45.42"</f>
        <v>45.42</v>
      </c>
      <c r="M3158" s="1" t="s">
        <v>22</v>
      </c>
      <c r="N3158" s="5">
        <v>45625</v>
      </c>
    </row>
    <row r="3159" spans="1:14" x14ac:dyDescent="0.3">
      <c r="A3159" s="1" t="str">
        <f>"1_6119/2129-11/2024/Б"</f>
        <v>1_6119/2129-11/2024/Б</v>
      </c>
      <c r="B3159" s="6">
        <v>45625</v>
      </c>
      <c r="C3159" s="1" t="str">
        <f>"00038"</f>
        <v>00038</v>
      </c>
      <c r="D3159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59" s="1" t="s">
        <v>20</v>
      </c>
      <c r="F3159" s="1" t="str">
        <f t="shared" si="459"/>
        <v>Центр надання адміністративних послуг Рогатинської міської ради</v>
      </c>
      <c r="G3159" s="1" t="str">
        <f t="shared" si="455"/>
        <v>Фізична особа</v>
      </c>
      <c r="H3159" s="1" t="s">
        <v>20</v>
      </c>
      <c r="I3159" s="1" t="s">
        <v>20</v>
      </c>
      <c r="J3159" s="1" t="str">
        <f t="shared" si="458"/>
        <v>Закрито</v>
      </c>
      <c r="K3159" s="5">
        <v>45625</v>
      </c>
      <c r="L3159" s="1" t="s">
        <v>20</v>
      </c>
      <c r="M3159" s="1" t="s">
        <v>22</v>
      </c>
      <c r="N3159" s="5">
        <v>45625</v>
      </c>
    </row>
    <row r="3160" spans="1:14" x14ac:dyDescent="0.3">
      <c r="A3160" s="1" t="str">
        <f>"1_6120/2129-11/2024/Б"</f>
        <v>1_6120/2129-11/2024/Б</v>
      </c>
      <c r="B3160" s="6">
        <v>45625</v>
      </c>
      <c r="C3160" s="1" t="str">
        <f>"00038"</f>
        <v>00038</v>
      </c>
      <c r="D3160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60" s="1" t="s">
        <v>20</v>
      </c>
      <c r="F3160" s="1" t="str">
        <f t="shared" si="459"/>
        <v>Центр надання адміністративних послуг Рогатинської міської ради</v>
      </c>
      <c r="G3160" s="1" t="str">
        <f t="shared" si="455"/>
        <v>Фізична особа</v>
      </c>
      <c r="H3160" s="1" t="s">
        <v>20</v>
      </c>
      <c r="I3160" s="1" t="s">
        <v>20</v>
      </c>
      <c r="J3160" s="1" t="str">
        <f t="shared" si="458"/>
        <v>Закрито</v>
      </c>
      <c r="K3160" s="5">
        <v>45625</v>
      </c>
      <c r="L3160" s="1" t="s">
        <v>20</v>
      </c>
      <c r="M3160" s="1" t="s">
        <v>22</v>
      </c>
      <c r="N3160" s="5">
        <v>45625</v>
      </c>
    </row>
    <row r="3161" spans="1:14" x14ac:dyDescent="0.3">
      <c r="A3161" s="1" t="str">
        <f>"5_522/2129-11/2024/Ф"</f>
        <v>5_522/2129-11/2024/Ф</v>
      </c>
      <c r="B3161" s="6">
        <v>45625</v>
      </c>
      <c r="C3161" s="1" t="str">
        <f>"00234"</f>
        <v>00234</v>
      </c>
      <c r="D3161" s="2" t="str">
        <f>"Видача витягу з Єдиного державного реєстру юридичних осіб, фізичних осіб – підприємців та громадських формувань"</f>
        <v>Видача витягу з Єдиного державного реєстру юридичних осіб, фізичних осіб – підприємців та громадських формувань</v>
      </c>
      <c r="E3161" s="1" t="s">
        <v>20</v>
      </c>
      <c r="F3161" s="1" t="str">
        <f t="shared" si="459"/>
        <v>Центр надання адміністративних послуг Рогатинської міської ради</v>
      </c>
      <c r="G3161" s="1" t="str">
        <f>"Фізична особа - підприємець"</f>
        <v>Фізична особа - підприємець</v>
      </c>
      <c r="H3161" s="1" t="str">
        <f>"ФОП ВІВСЯНИК РУСЛАН ПЕТРОВИЧ"</f>
        <v>ФОП ВІВСЯНИК РУСЛАН ПЕТРОВИЧ</v>
      </c>
      <c r="I3161" s="1" t="s">
        <v>20</v>
      </c>
      <c r="J3161" s="1" t="str">
        <f t="shared" si="458"/>
        <v>Закрито</v>
      </c>
      <c r="K3161" s="5">
        <v>45625</v>
      </c>
      <c r="L3161" s="1" t="s">
        <v>20</v>
      </c>
      <c r="M3161" s="1" t="s">
        <v>22</v>
      </c>
      <c r="N3161" s="5">
        <v>45625</v>
      </c>
    </row>
    <row r="3162" spans="1:14" x14ac:dyDescent="0.3">
      <c r="A3162" s="1" t="str">
        <f>"1_6121/2129-11/2024/В"</f>
        <v>1_6121/2129-11/2024/В</v>
      </c>
      <c r="B3162" s="6">
        <v>45625</v>
      </c>
      <c r="C3162" s="1" t="str">
        <f>"00038"</f>
        <v>00038</v>
      </c>
      <c r="D316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62" s="1" t="s">
        <v>20</v>
      </c>
      <c r="F3162" s="1" t="str">
        <f t="shared" si="459"/>
        <v>Центр надання адміністративних послуг Рогатинської міської ради</v>
      </c>
      <c r="G3162" s="1" t="str">
        <f t="shared" ref="G3162:G3189" si="460">"Фізична особа"</f>
        <v>Фізична особа</v>
      </c>
      <c r="H3162" s="1" t="s">
        <v>20</v>
      </c>
      <c r="I3162" s="1" t="s">
        <v>20</v>
      </c>
      <c r="J3162" s="1" t="str">
        <f t="shared" si="458"/>
        <v>Закрито</v>
      </c>
      <c r="K3162" s="5">
        <v>45625</v>
      </c>
      <c r="L3162" s="1" t="s">
        <v>20</v>
      </c>
      <c r="M3162" s="1" t="s">
        <v>22</v>
      </c>
      <c r="N3162" s="5">
        <v>45625</v>
      </c>
    </row>
    <row r="3163" spans="1:14" x14ac:dyDescent="0.3">
      <c r="A3163" s="1" t="str">
        <f>"1_6122/2129-11/2024/Ф"</f>
        <v>1_6122/2129-11/2024/Ф</v>
      </c>
      <c r="B3163" s="6">
        <v>45625</v>
      </c>
      <c r="C3163" s="1" t="str">
        <f>"00038"</f>
        <v>00038</v>
      </c>
      <c r="D3163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63" s="1" t="s">
        <v>20</v>
      </c>
      <c r="F3163" s="1" t="str">
        <f t="shared" si="459"/>
        <v>Центр надання адміністративних послуг Рогатинської міської ради</v>
      </c>
      <c r="G3163" s="1" t="str">
        <f t="shared" si="460"/>
        <v>Фізична особа</v>
      </c>
      <c r="H3163" s="1" t="s">
        <v>20</v>
      </c>
      <c r="I3163" s="1" t="s">
        <v>20</v>
      </c>
      <c r="J3163" s="1" t="str">
        <f t="shared" si="458"/>
        <v>Закрито</v>
      </c>
      <c r="K3163" s="5">
        <v>45625</v>
      </c>
      <c r="L3163" s="1" t="s">
        <v>20</v>
      </c>
      <c r="M3163" s="1" t="s">
        <v>22</v>
      </c>
      <c r="N3163" s="5">
        <v>45625</v>
      </c>
    </row>
    <row r="3164" spans="1:14" x14ac:dyDescent="0.3">
      <c r="A3164" s="1" t="str">
        <f>"1_6123/2129-11/2024/Ф"</f>
        <v>1_6123/2129-11/2024/Ф</v>
      </c>
      <c r="B3164" s="6">
        <v>45625</v>
      </c>
      <c r="C3164" s="1" t="str">
        <f>"00038"</f>
        <v>00038</v>
      </c>
      <c r="D3164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64" s="1" t="s">
        <v>20</v>
      </c>
      <c r="F3164" s="1" t="str">
        <f t="shared" si="459"/>
        <v>Центр надання адміністративних послуг Рогатинської міської ради</v>
      </c>
      <c r="G3164" s="1" t="str">
        <f t="shared" si="460"/>
        <v>Фізична особа</v>
      </c>
      <c r="H3164" s="1" t="s">
        <v>20</v>
      </c>
      <c r="I3164" s="1" t="s">
        <v>20</v>
      </c>
      <c r="J3164" s="1" t="str">
        <f t="shared" si="458"/>
        <v>Закрито</v>
      </c>
      <c r="K3164" s="5">
        <v>45625</v>
      </c>
      <c r="L3164" s="1" t="s">
        <v>20</v>
      </c>
      <c r="M3164" s="1" t="s">
        <v>22</v>
      </c>
      <c r="N3164" s="5">
        <v>45625</v>
      </c>
    </row>
    <row r="3165" spans="1:14" x14ac:dyDescent="0.3">
      <c r="A3165" s="1" t="s">
        <v>19</v>
      </c>
      <c r="B3165" s="6">
        <v>45625</v>
      </c>
      <c r="C3165" s="1" t="str">
        <f>"00038"</f>
        <v>00038</v>
      </c>
      <c r="D3165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65" s="1" t="s">
        <v>20</v>
      </c>
      <c r="F3165" s="1" t="str">
        <f t="shared" si="459"/>
        <v>Центр надання адміністративних послуг Рогатинської міської ради</v>
      </c>
      <c r="G3165" s="1" t="str">
        <f t="shared" si="460"/>
        <v>Фізична особа</v>
      </c>
      <c r="H3165" s="1" t="s">
        <v>20</v>
      </c>
      <c r="I3165" s="1" t="s">
        <v>20</v>
      </c>
      <c r="J3165" s="1" t="str">
        <f t="shared" si="458"/>
        <v>Закрито</v>
      </c>
      <c r="K3165" s="5">
        <v>45625</v>
      </c>
      <c r="L3165" s="1"/>
      <c r="M3165" s="1" t="s">
        <v>22</v>
      </c>
      <c r="N3165" s="1" t="s">
        <v>20</v>
      </c>
    </row>
    <row r="3166" spans="1:14" x14ac:dyDescent="0.3">
      <c r="A3166" s="1" t="str">
        <f>"9_1745/04054323-11/2024/Б"</f>
        <v>9_1745/04054323-11/2024/Б</v>
      </c>
      <c r="B3166" s="6">
        <v>45625</v>
      </c>
      <c r="C3166" s="1" t="str">
        <f>"01-1"</f>
        <v>01-1</v>
      </c>
      <c r="D3166" s="2" t="s">
        <v>0</v>
      </c>
      <c r="E3166" s="1" t="str">
        <f>"04054323"</f>
        <v>04054323</v>
      </c>
      <c r="F3166" s="1" t="str">
        <f>"Рогатинська міська рада"</f>
        <v>Рогатинська міська рада</v>
      </c>
      <c r="G3166" s="1" t="str">
        <f t="shared" si="460"/>
        <v>Фізична особа</v>
      </c>
      <c r="H3166" s="1" t="s">
        <v>20</v>
      </c>
      <c r="I3166" s="1" t="s">
        <v>20</v>
      </c>
      <c r="J3166" s="1" t="str">
        <f>"На обробці в СНАП"</f>
        <v>На обробці в СНАП</v>
      </c>
      <c r="K3166" s="1" t="s">
        <v>20</v>
      </c>
      <c r="L3166" s="1" t="s">
        <v>20</v>
      </c>
      <c r="M3166" s="1" t="s">
        <v>22</v>
      </c>
      <c r="N3166" s="1" t="s">
        <v>20</v>
      </c>
    </row>
    <row r="3167" spans="1:14" x14ac:dyDescent="0.3">
      <c r="A3167" s="1" t="str">
        <f>"1_755-11/2024/К"</f>
        <v>1_755-11/2024/К</v>
      </c>
      <c r="B3167" s="6">
        <v>45625</v>
      </c>
      <c r="C3167" s="1" t="str">
        <f>"00143"</f>
        <v>00143</v>
      </c>
      <c r="D3167" s="2" t="str">
        <f>"Призначення державної допомоги у зв’язку з вагітністю та пологами жінкам, які не застраховані в системі загальнообов’язкового державного соціального страхування"</f>
        <v>Призначення державної допомоги у зв’язку з вагітністю та пологами жінкам, які не застраховані в системі загальнообов’язкового державного соціального страхування</v>
      </c>
      <c r="E3167" s="1" t="str">
        <f>"03193413"</f>
        <v>03193413</v>
      </c>
      <c r="F3167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67" s="1" t="str">
        <f t="shared" si="460"/>
        <v>Фізична особа</v>
      </c>
      <c r="H3167" s="1" t="s">
        <v>20</v>
      </c>
      <c r="I3167" s="1" t="s">
        <v>20</v>
      </c>
      <c r="J3167" s="1" t="str">
        <f>"Закрито"</f>
        <v>Закрито</v>
      </c>
      <c r="K3167" s="5">
        <v>45653</v>
      </c>
      <c r="L3167" s="1" t="s">
        <v>20</v>
      </c>
      <c r="M3167" s="1" t="s">
        <v>22</v>
      </c>
      <c r="N3167" s="5">
        <v>45653</v>
      </c>
    </row>
    <row r="3168" spans="1:14" x14ac:dyDescent="0.3">
      <c r="A3168" s="1" t="str">
        <f>"18_667-11/2024/Б"</f>
        <v>18_667-11/2024/Б</v>
      </c>
      <c r="B3168" s="6">
        <v>45625</v>
      </c>
      <c r="C3168" s="1" t="str">
        <f>"00155"</f>
        <v>00155</v>
      </c>
      <c r="D3168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68" s="1" t="str">
        <f>"03193413"</f>
        <v>03193413</v>
      </c>
      <c r="F3168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68" s="1" t="str">
        <f t="shared" si="460"/>
        <v>Фізична особа</v>
      </c>
      <c r="H3168" s="1" t="s">
        <v>20</v>
      </c>
      <c r="I3168" s="1" t="s">
        <v>20</v>
      </c>
      <c r="J3168" s="1" t="str">
        <f>"На обробці в СНАП"</f>
        <v>На обробці в СНАП</v>
      </c>
      <c r="K3168" s="1" t="s">
        <v>20</v>
      </c>
      <c r="L3168" s="1" t="s">
        <v>20</v>
      </c>
      <c r="M3168" s="1" t="s">
        <v>22</v>
      </c>
      <c r="N3168" s="1" t="s">
        <v>20</v>
      </c>
    </row>
    <row r="3169" spans="1:14" x14ac:dyDescent="0.3">
      <c r="A3169" s="1" t="str">
        <f>"9_1746/04054323-11/2024/Х"</f>
        <v>9_1746/04054323-11/2024/Х</v>
      </c>
      <c r="B3169" s="6">
        <v>45625</v>
      </c>
      <c r="C3169" s="1" t="str">
        <f>"01-1"</f>
        <v>01-1</v>
      </c>
      <c r="D3169" s="2" t="s">
        <v>0</v>
      </c>
      <c r="E3169" s="1" t="str">
        <f>"04054323"</f>
        <v>04054323</v>
      </c>
      <c r="F3169" s="1" t="str">
        <f>"Рогатинська міська рада"</f>
        <v>Рогатинська міська рада</v>
      </c>
      <c r="G3169" s="1" t="str">
        <f t="shared" si="460"/>
        <v>Фізична особа</v>
      </c>
      <c r="H3169" s="1" t="s">
        <v>20</v>
      </c>
      <c r="I3169" s="1" t="s">
        <v>20</v>
      </c>
      <c r="J3169" s="1" t="str">
        <f>"На обробці в СНАП"</f>
        <v>На обробці в СНАП</v>
      </c>
      <c r="K3169" s="1" t="s">
        <v>20</v>
      </c>
      <c r="L3169" s="1" t="s">
        <v>20</v>
      </c>
      <c r="M3169" s="1" t="s">
        <v>22</v>
      </c>
      <c r="N3169" s="1" t="s">
        <v>20</v>
      </c>
    </row>
    <row r="3170" spans="1:14" x14ac:dyDescent="0.3">
      <c r="A3170" s="1" t="str">
        <f>"18_668-11/2024/Н"</f>
        <v>18_668-11/2024/Н</v>
      </c>
      <c r="B3170" s="6">
        <v>45625</v>
      </c>
      <c r="C3170" s="1" t="str">
        <f>"00155"</f>
        <v>00155</v>
      </c>
      <c r="D3170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70" s="1" t="str">
        <f>"03193413"</f>
        <v>03193413</v>
      </c>
      <c r="F3170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70" s="1" t="str">
        <f t="shared" si="460"/>
        <v>Фізична особа</v>
      </c>
      <c r="H3170" s="1" t="s">
        <v>20</v>
      </c>
      <c r="I3170" s="1" t="s">
        <v>20</v>
      </c>
      <c r="J3170" s="1" t="str">
        <f>"Реєстрація"</f>
        <v>Реєстрація</v>
      </c>
      <c r="K3170" s="1" t="s">
        <v>20</v>
      </c>
      <c r="L3170" s="1" t="s">
        <v>20</v>
      </c>
      <c r="M3170" s="1" t="s">
        <v>22</v>
      </c>
      <c r="N3170" s="1" t="s">
        <v>20</v>
      </c>
    </row>
    <row r="3171" spans="1:14" x14ac:dyDescent="0.3">
      <c r="A3171" s="1" t="str">
        <f>"9_1747/04054323-11/2024/Х"</f>
        <v>9_1747/04054323-11/2024/Х</v>
      </c>
      <c r="B3171" s="6">
        <v>45625</v>
      </c>
      <c r="C3171" s="1" t="str">
        <f>"01"</f>
        <v>01</v>
      </c>
      <c r="D3171" s="2" t="str">
        <f>"01 Видача рішення про затвердження технічної документації із землеустрою щодо встановлення (відновлення) меж земельної ділянки в натурі ( на місцевості)"</f>
        <v>01 Видача рішення про затвердження технічної документації із землеустрою щодо встановлення (відновлення) меж земельної ділянки в натурі ( на місцевості)</v>
      </c>
      <c r="E3171" s="1" t="str">
        <f>"04054323"</f>
        <v>04054323</v>
      </c>
      <c r="F3171" s="1" t="str">
        <f>"Рогатинська міська рада"</f>
        <v>Рогатинська міська рада</v>
      </c>
      <c r="G3171" s="1" t="str">
        <f t="shared" si="460"/>
        <v>Фізична особа</v>
      </c>
      <c r="H3171" s="1" t="s">
        <v>20</v>
      </c>
      <c r="I3171" s="1" t="s">
        <v>20</v>
      </c>
      <c r="J3171" s="1" t="str">
        <f>"На обробці в СНАП"</f>
        <v>На обробці в СНАП</v>
      </c>
      <c r="K3171" s="1" t="s">
        <v>20</v>
      </c>
      <c r="L3171" s="1" t="s">
        <v>20</v>
      </c>
      <c r="M3171" s="1" t="s">
        <v>22</v>
      </c>
      <c r="N3171" s="1" t="s">
        <v>20</v>
      </c>
    </row>
    <row r="3172" spans="1:14" x14ac:dyDescent="0.3">
      <c r="A3172" s="1" t="str">
        <f>"21_659-11/2024/Б"</f>
        <v>21_659-11/2024/Б</v>
      </c>
      <c r="B3172" s="6">
        <v>45625</v>
      </c>
      <c r="C3172" s="1" t="str">
        <f>"33"</f>
        <v>33</v>
      </c>
      <c r="D3172" s="2" t="str">
        <f>"33 Довідки різного характеру"</f>
        <v>33 Довідки різного характеру</v>
      </c>
      <c r="E3172" s="1" t="s">
        <v>20</v>
      </c>
      <c r="F3172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72" s="1" t="str">
        <f t="shared" si="460"/>
        <v>Фізична особа</v>
      </c>
      <c r="H3172" s="1" t="s">
        <v>20</v>
      </c>
      <c r="I3172" s="1" t="s">
        <v>20</v>
      </c>
      <c r="J3172" s="1" t="str">
        <f>"Закрито"</f>
        <v>Закрито</v>
      </c>
      <c r="K3172" s="5">
        <v>45625</v>
      </c>
      <c r="L3172" s="1" t="s">
        <v>20</v>
      </c>
      <c r="M3172" s="1" t="s">
        <v>22</v>
      </c>
      <c r="N3172" s="5">
        <v>45625</v>
      </c>
    </row>
    <row r="3173" spans="1:14" x14ac:dyDescent="0.3">
      <c r="A3173" s="1" t="str">
        <f>"22_573-11/2024/П"</f>
        <v>22_573-11/2024/П</v>
      </c>
      <c r="B3173" s="6">
        <v>45625</v>
      </c>
      <c r="C3173" s="1" t="str">
        <f>"00037"</f>
        <v>00037</v>
      </c>
      <c r="D3173" s="2" t="str">
        <f>"Зняття з реєстрації місця проживання"</f>
        <v>Зняття з реєстрації місця проживання</v>
      </c>
      <c r="E3173" s="1" t="s">
        <v>20</v>
      </c>
      <c r="F3173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73" s="1" t="str">
        <f t="shared" si="460"/>
        <v>Фізична особа</v>
      </c>
      <c r="H3173" s="1" t="s">
        <v>20</v>
      </c>
      <c r="I3173" s="1" t="s">
        <v>20</v>
      </c>
      <c r="J3173" s="1" t="str">
        <f>"Закрито"</f>
        <v>Закрито</v>
      </c>
      <c r="K3173" s="5">
        <v>45625</v>
      </c>
      <c r="L3173" s="1" t="s">
        <v>20</v>
      </c>
      <c r="M3173" s="1" t="s">
        <v>22</v>
      </c>
      <c r="N3173" s="5">
        <v>45625</v>
      </c>
    </row>
    <row r="3174" spans="1:14" x14ac:dyDescent="0.3">
      <c r="A3174" s="1" t="str">
        <f>"22_574-11/2024/П"</f>
        <v>22_574-11/2024/П</v>
      </c>
      <c r="B3174" s="6">
        <v>45625</v>
      </c>
      <c r="C3174" s="1" t="str">
        <f>"33"</f>
        <v>33</v>
      </c>
      <c r="D3174" s="2" t="str">
        <f>"33 Довідки різного характеру"</f>
        <v>33 Довідки різного характеру</v>
      </c>
      <c r="E3174" s="1" t="s">
        <v>20</v>
      </c>
      <c r="F3174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74" s="1" t="str">
        <f t="shared" si="460"/>
        <v>Фізична особа</v>
      </c>
      <c r="H3174" s="1" t="s">
        <v>20</v>
      </c>
      <c r="I3174" s="1" t="s">
        <v>20</v>
      </c>
      <c r="J3174" s="1" t="str">
        <f>"Закрито"</f>
        <v>Закрито</v>
      </c>
      <c r="K3174" s="5">
        <v>45625</v>
      </c>
      <c r="L3174" s="1" t="s">
        <v>20</v>
      </c>
      <c r="M3174" s="1" t="s">
        <v>22</v>
      </c>
      <c r="N3174" s="5">
        <v>45625</v>
      </c>
    </row>
    <row r="3175" spans="1:14" x14ac:dyDescent="0.3">
      <c r="A3175" s="1" t="str">
        <f>"21_660-11/2024/Ч"</f>
        <v>21_660-11/2024/Ч</v>
      </c>
      <c r="B3175" s="6">
        <v>45625</v>
      </c>
      <c r="C3175" s="1" t="str">
        <f>"01313"</f>
        <v>01313</v>
      </c>
      <c r="D3175" s="2" t="str">
        <f>"Видача довідки про підтвердження місця проживання померлого"</f>
        <v>Видача довідки про підтвердження місця проживання померлого</v>
      </c>
      <c r="E3175" s="1" t="s">
        <v>20</v>
      </c>
      <c r="F3175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75" s="1" t="str">
        <f t="shared" si="460"/>
        <v>Фізична особа</v>
      </c>
      <c r="H3175" s="1" t="s">
        <v>20</v>
      </c>
      <c r="I3175" s="1" t="s">
        <v>20</v>
      </c>
      <c r="J3175" s="1" t="str">
        <f>"Закрито"</f>
        <v>Закрито</v>
      </c>
      <c r="K3175" s="5">
        <v>45625</v>
      </c>
      <c r="L3175" s="1" t="s">
        <v>20</v>
      </c>
      <c r="M3175" s="1" t="s">
        <v>22</v>
      </c>
      <c r="N3175" s="5">
        <v>45625</v>
      </c>
    </row>
    <row r="3176" spans="1:14" x14ac:dyDescent="0.3">
      <c r="A3176" s="1" t="str">
        <f>"18_669-11/2024/Н"</f>
        <v>18_669-11/2024/Н</v>
      </c>
      <c r="B3176" s="6">
        <v>45625</v>
      </c>
      <c r="C3176" s="1" t="str">
        <f>"00155"</f>
        <v>00155</v>
      </c>
      <c r="D3176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76" s="1" t="str">
        <f>"03193413"</f>
        <v>03193413</v>
      </c>
      <c r="F317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76" s="1" t="str">
        <f t="shared" si="460"/>
        <v>Фізична особа</v>
      </c>
      <c r="H3176" s="1" t="s">
        <v>20</v>
      </c>
      <c r="I3176" s="1" t="s">
        <v>20</v>
      </c>
      <c r="J3176" s="1" t="str">
        <f>"На обробці в СНАП"</f>
        <v>На обробці в СНАП</v>
      </c>
      <c r="K3176" s="1" t="s">
        <v>20</v>
      </c>
      <c r="L3176" s="1" t="s">
        <v>20</v>
      </c>
      <c r="M3176" s="1" t="s">
        <v>22</v>
      </c>
      <c r="N3176" s="1" t="s">
        <v>20</v>
      </c>
    </row>
    <row r="3177" spans="1:14" x14ac:dyDescent="0.3">
      <c r="A3177" s="1" t="str">
        <f>"18_670-11/2024/Н"</f>
        <v>18_670-11/2024/Н</v>
      </c>
      <c r="B3177" s="6">
        <v>45625</v>
      </c>
      <c r="C3177" s="1" t="str">
        <f>"00038"</f>
        <v>00038</v>
      </c>
      <c r="D3177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77" s="1" t="s">
        <v>20</v>
      </c>
      <c r="F3177" s="1" t="str">
        <f t="shared" ref="F3177:F3182" si="461"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77" s="1" t="str">
        <f t="shared" si="460"/>
        <v>Фізична особа</v>
      </c>
      <c r="H3177" s="1" t="s">
        <v>20</v>
      </c>
      <c r="I3177" s="1" t="s">
        <v>20</v>
      </c>
      <c r="J3177" s="1" t="str">
        <f t="shared" ref="J3177:J3182" si="462">"Закрито"</f>
        <v>Закрито</v>
      </c>
      <c r="K3177" s="5">
        <v>45625</v>
      </c>
      <c r="L3177" s="1" t="s">
        <v>20</v>
      </c>
      <c r="M3177" s="1" t="s">
        <v>22</v>
      </c>
      <c r="N3177" s="5">
        <v>45625</v>
      </c>
    </row>
    <row r="3178" spans="1:14" x14ac:dyDescent="0.3">
      <c r="A3178" s="1" t="str">
        <f>"18_671-11/2024/Н"</f>
        <v>18_671-11/2024/Н</v>
      </c>
      <c r="B3178" s="6">
        <v>45625</v>
      </c>
      <c r="C3178" s="1" t="str">
        <f>"33"</f>
        <v>33</v>
      </c>
      <c r="D3178" s="2" t="str">
        <f>"33 Довідки різного характеру"</f>
        <v>33 Довідки різного характеру</v>
      </c>
      <c r="E3178" s="1" t="s">
        <v>20</v>
      </c>
      <c r="F3178" s="1" t="str">
        <f t="shared" si="461"/>
        <v>Центр надання адміністративних послуг Рогатинської міської ради</v>
      </c>
      <c r="G3178" s="1" t="str">
        <f t="shared" si="460"/>
        <v>Фізична особа</v>
      </c>
      <c r="H3178" s="1" t="s">
        <v>20</v>
      </c>
      <c r="I3178" s="1" t="s">
        <v>20</v>
      </c>
      <c r="J3178" s="1" t="str">
        <f t="shared" si="462"/>
        <v>Закрито</v>
      </c>
      <c r="K3178" s="5">
        <v>45625</v>
      </c>
      <c r="L3178" s="1" t="s">
        <v>20</v>
      </c>
      <c r="M3178" s="1" t="s">
        <v>22</v>
      </c>
      <c r="N3178" s="5">
        <v>45625</v>
      </c>
    </row>
    <row r="3179" spans="1:14" x14ac:dyDescent="0.3">
      <c r="A3179" s="1" t="str">
        <f>"26_397-11/2024/Д"</f>
        <v>26_397-11/2024/Д</v>
      </c>
      <c r="B3179" s="6">
        <v>45625</v>
      </c>
      <c r="C3179" s="1" t="str">
        <f>"33"</f>
        <v>33</v>
      </c>
      <c r="D3179" s="2" t="str">
        <f>"33 Довідки різного характеру"</f>
        <v>33 Довідки різного характеру</v>
      </c>
      <c r="E3179" s="1" t="s">
        <v>20</v>
      </c>
      <c r="F3179" s="1" t="str">
        <f t="shared" si="461"/>
        <v>Центр надання адміністративних послуг Рогатинської міської ради</v>
      </c>
      <c r="G3179" s="1" t="str">
        <f t="shared" si="460"/>
        <v>Фізична особа</v>
      </c>
      <c r="H3179" s="1" t="s">
        <v>20</v>
      </c>
      <c r="I3179" s="1" t="s">
        <v>20</v>
      </c>
      <c r="J3179" s="1" t="str">
        <f t="shared" si="462"/>
        <v>Закрито</v>
      </c>
      <c r="K3179" s="5">
        <v>45625</v>
      </c>
      <c r="L3179" s="1" t="s">
        <v>20</v>
      </c>
      <c r="M3179" s="1" t="s">
        <v>22</v>
      </c>
      <c r="N3179" s="5">
        <v>45625</v>
      </c>
    </row>
    <row r="3180" spans="1:14" x14ac:dyDescent="0.3">
      <c r="A3180" s="1" t="str">
        <f>"18_672-11/2024/Н"</f>
        <v>18_672-11/2024/Н</v>
      </c>
      <c r="B3180" s="6">
        <v>45625</v>
      </c>
      <c r="C3180" s="1" t="str">
        <f>"33"</f>
        <v>33</v>
      </c>
      <c r="D3180" s="2" t="str">
        <f>"33 Довідки різного характеру"</f>
        <v>33 Довідки різного характеру</v>
      </c>
      <c r="E3180" s="1" t="s">
        <v>20</v>
      </c>
      <c r="F3180" s="1" t="str">
        <f t="shared" si="461"/>
        <v>Центр надання адміністративних послуг Рогатинської міської ради</v>
      </c>
      <c r="G3180" s="1" t="str">
        <f t="shared" si="460"/>
        <v>Фізична особа</v>
      </c>
      <c r="H3180" s="1" t="s">
        <v>20</v>
      </c>
      <c r="I3180" s="1" t="s">
        <v>20</v>
      </c>
      <c r="J3180" s="1" t="str">
        <f t="shared" si="462"/>
        <v>Закрито</v>
      </c>
      <c r="K3180" s="5">
        <v>45625</v>
      </c>
      <c r="L3180" s="1" t="s">
        <v>20</v>
      </c>
      <c r="M3180" s="1" t="s">
        <v>22</v>
      </c>
      <c r="N3180" s="5">
        <v>45625</v>
      </c>
    </row>
    <row r="3181" spans="1:14" x14ac:dyDescent="0.3">
      <c r="A3181" s="1" t="str">
        <f>"18_673-11/2024/Н"</f>
        <v>18_673-11/2024/Н</v>
      </c>
      <c r="B3181" s="6">
        <v>45625</v>
      </c>
      <c r="C3181" s="1" t="str">
        <f>"00038"</f>
        <v>00038</v>
      </c>
      <c r="D3181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81" s="1" t="s">
        <v>20</v>
      </c>
      <c r="F3181" s="1" t="str">
        <f t="shared" si="461"/>
        <v>Центр надання адміністративних послуг Рогатинської міської ради</v>
      </c>
      <c r="G3181" s="1" t="str">
        <f t="shared" si="460"/>
        <v>Фізична особа</v>
      </c>
      <c r="H3181" s="1" t="s">
        <v>20</v>
      </c>
      <c r="I3181" s="1" t="s">
        <v>20</v>
      </c>
      <c r="J3181" s="1" t="str">
        <f t="shared" si="462"/>
        <v>Закрито</v>
      </c>
      <c r="K3181" s="5">
        <v>45625</v>
      </c>
      <c r="L3181" s="1" t="s">
        <v>20</v>
      </c>
      <c r="M3181" s="1" t="s">
        <v>22</v>
      </c>
      <c r="N3181" s="5">
        <v>45625</v>
      </c>
    </row>
    <row r="3182" spans="1:14" x14ac:dyDescent="0.3">
      <c r="A3182" s="1" t="str">
        <f>"26_398-11/2024/В"</f>
        <v>26_398-11/2024/В</v>
      </c>
      <c r="B3182" s="6">
        <v>45625</v>
      </c>
      <c r="C3182" s="1" t="str">
        <f>"00038"</f>
        <v>00038</v>
      </c>
      <c r="D3182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82" s="1" t="s">
        <v>20</v>
      </c>
      <c r="F3182" s="1" t="str">
        <f t="shared" si="461"/>
        <v>Центр надання адміністративних послуг Рогатинської міської ради</v>
      </c>
      <c r="G3182" s="1" t="str">
        <f t="shared" si="460"/>
        <v>Фізична особа</v>
      </c>
      <c r="H3182" s="1" t="s">
        <v>20</v>
      </c>
      <c r="I3182" s="1" t="s">
        <v>20</v>
      </c>
      <c r="J3182" s="1" t="str">
        <f t="shared" si="462"/>
        <v>Закрито</v>
      </c>
      <c r="K3182" s="5">
        <v>45625</v>
      </c>
      <c r="L3182" s="1" t="s">
        <v>20</v>
      </c>
      <c r="M3182" s="1" t="s">
        <v>22</v>
      </c>
      <c r="N3182" s="5">
        <v>45625</v>
      </c>
    </row>
    <row r="3183" spans="1:14" x14ac:dyDescent="0.3">
      <c r="A3183" s="1" t="str">
        <f>"4_1040-11/2024/Г"</f>
        <v>4_1040-11/2024/Г</v>
      </c>
      <c r="B3183" s="6">
        <v>45625</v>
      </c>
      <c r="C3183" s="1" t="str">
        <f>"00155"</f>
        <v>00155</v>
      </c>
      <c r="D3183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83" s="1" t="str">
        <f>"03193413"</f>
        <v>03193413</v>
      </c>
      <c r="F3183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83" s="1" t="str">
        <f t="shared" si="460"/>
        <v>Фізична особа</v>
      </c>
      <c r="H3183" s="1" t="s">
        <v>20</v>
      </c>
      <c r="I3183" s="1" t="s">
        <v>20</v>
      </c>
      <c r="J3183" s="1" t="str">
        <f>"Заявника сповіщено про результат"</f>
        <v>Заявника сповіщено про результат</v>
      </c>
      <c r="K3183" s="5">
        <v>45635</v>
      </c>
      <c r="L3183" s="1" t="s">
        <v>20</v>
      </c>
      <c r="M3183" s="1" t="s">
        <v>22</v>
      </c>
      <c r="N3183" s="5">
        <v>45637</v>
      </c>
    </row>
    <row r="3184" spans="1:14" x14ac:dyDescent="0.3">
      <c r="A3184" s="1" t="str">
        <f>"4_1041-11/2024/В"</f>
        <v>4_1041-11/2024/В</v>
      </c>
      <c r="B3184" s="6">
        <v>45625</v>
      </c>
      <c r="C3184" s="1" t="str">
        <f>"01974"</f>
        <v>01974</v>
      </c>
      <c r="D3184" s="2" t="str">
        <f>"Призначення пільги на оплату житла, комунальних послуг"</f>
        <v>Призначення пільги на оплату житла, комунальних послуг</v>
      </c>
      <c r="E3184" s="1" t="str">
        <f>"03193413"</f>
        <v>03193413</v>
      </c>
      <c r="F3184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84" s="1" t="str">
        <f t="shared" si="460"/>
        <v>Фізична особа</v>
      </c>
      <c r="H3184" s="1" t="s">
        <v>20</v>
      </c>
      <c r="I3184" s="1" t="s">
        <v>20</v>
      </c>
      <c r="J3184" s="1" t="str">
        <f>"На обробці в СНАП"</f>
        <v>На обробці в СНАП</v>
      </c>
      <c r="K3184" s="1" t="s">
        <v>20</v>
      </c>
      <c r="L3184" s="1" t="s">
        <v>20</v>
      </c>
      <c r="M3184" s="1" t="s">
        <v>22</v>
      </c>
      <c r="N3184" s="1" t="s">
        <v>20</v>
      </c>
    </row>
    <row r="3185" spans="1:14" x14ac:dyDescent="0.3">
      <c r="A3185" s="1" t="str">
        <f>"4_1042-11/2024/О"</f>
        <v>4_1042-11/2024/О</v>
      </c>
      <c r="B3185" s="6">
        <v>45625</v>
      </c>
      <c r="C3185" s="1" t="str">
        <f>"02025"</f>
        <v>02025</v>
      </c>
      <c r="D3185" s="2" t="str">
        <f>"Продовження виплати тимчасової державної соціальної допомоги непрацюючий особі, яка досягла загального пенсійного віку, але не набула права на пенсійну виплату"</f>
        <v>Продовження виплати тимчасової державної соціальної допомоги непрацюючий особі, яка досягла загального пенсійного віку, але не набула права на пенсійну виплату</v>
      </c>
      <c r="E3185" s="1" t="str">
        <f>"03193413"</f>
        <v>03193413</v>
      </c>
      <c r="F3185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85" s="1" t="str">
        <f t="shared" si="460"/>
        <v>Фізична особа</v>
      </c>
      <c r="H3185" s="1" t="s">
        <v>20</v>
      </c>
      <c r="I3185" s="1" t="s">
        <v>20</v>
      </c>
      <c r="J3185" s="1" t="str">
        <f>"Заявника сповіщено про результат"</f>
        <v>Заявника сповіщено про результат</v>
      </c>
      <c r="K3185" s="5">
        <v>45635</v>
      </c>
      <c r="L3185" s="1" t="s">
        <v>20</v>
      </c>
      <c r="M3185" s="1" t="s">
        <v>22</v>
      </c>
      <c r="N3185" s="5">
        <v>45637</v>
      </c>
    </row>
    <row r="3186" spans="1:14" x14ac:dyDescent="0.3">
      <c r="A3186" s="1" t="str">
        <f>"4_1043-11/2024/П"</f>
        <v>4_1043-11/2024/П</v>
      </c>
      <c r="B3186" s="6">
        <v>45625</v>
      </c>
      <c r="C3186" s="1" t="str">
        <f>"00133"</f>
        <v>00133</v>
      </c>
      <c r="D3186" s="2" t="str">
        <f>"Призначення державної соціальної допомоги малозабезпеченим сім’ям"</f>
        <v>Призначення державної соціальної допомоги малозабезпеченим сім’ям</v>
      </c>
      <c r="E3186" s="1" t="str">
        <f>"03193413"</f>
        <v>03193413</v>
      </c>
      <c r="F3186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86" s="1" t="str">
        <f t="shared" si="460"/>
        <v>Фізична особа</v>
      </c>
      <c r="H3186" s="1" t="s">
        <v>20</v>
      </c>
      <c r="I3186" s="1" t="s">
        <v>20</v>
      </c>
      <c r="J3186" s="1" t="str">
        <f>"Заявника сповіщено про результат"</f>
        <v>Заявника сповіщено про результат</v>
      </c>
      <c r="K3186" s="5">
        <v>45611</v>
      </c>
      <c r="L3186" s="1" t="s">
        <v>20</v>
      </c>
      <c r="M3186" s="1" t="s">
        <v>22</v>
      </c>
      <c r="N3186" s="5">
        <v>45611</v>
      </c>
    </row>
    <row r="3187" spans="1:14" x14ac:dyDescent="0.3">
      <c r="A3187" s="1" t="str">
        <f>"4_1044-11/2024/Г"</f>
        <v>4_1044-11/2024/Г</v>
      </c>
      <c r="B3187" s="6">
        <v>45625</v>
      </c>
      <c r="C3187" s="1" t="str">
        <f>"33"</f>
        <v>33</v>
      </c>
      <c r="D3187" s="2" t="str">
        <f>"33 Довідки різного характеру"</f>
        <v>33 Довідки різного характеру</v>
      </c>
      <c r="E3187" s="1" t="s">
        <v>20</v>
      </c>
      <c r="F3187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87" s="1" t="str">
        <f t="shared" si="460"/>
        <v>Фізична особа</v>
      </c>
      <c r="H3187" s="1" t="s">
        <v>20</v>
      </c>
      <c r="I3187" s="1" t="s">
        <v>20</v>
      </c>
      <c r="J3187" s="1" t="str">
        <f>"Закрито"</f>
        <v>Закрито</v>
      </c>
      <c r="K3187" s="5">
        <v>45625</v>
      </c>
      <c r="L3187" s="1" t="s">
        <v>20</v>
      </c>
      <c r="M3187" s="1" t="s">
        <v>22</v>
      </c>
      <c r="N3187" s="5">
        <v>45625</v>
      </c>
    </row>
    <row r="3188" spans="1:14" x14ac:dyDescent="0.3">
      <c r="A3188" s="1" t="str">
        <f>"4_1045-11/2024/М"</f>
        <v>4_1045-11/2024/М</v>
      </c>
      <c r="B3188" s="6">
        <v>45625</v>
      </c>
      <c r="C3188" s="1" t="str">
        <f>"00038"</f>
        <v>00038</v>
      </c>
      <c r="D3188" s="2" t="str">
        <f>"Видача довідки про реєстрацію місця проживання або місця перебування особи"</f>
        <v>Видача довідки про реєстрацію місця проживання або місця перебування особи</v>
      </c>
      <c r="E3188" s="1" t="s">
        <v>20</v>
      </c>
      <c r="F3188" s="1" t="str">
        <f>"Центр надання адміністративних послуг Рогатинської міської ради"</f>
        <v>Центр надання адміністративних послуг Рогатинської міської ради</v>
      </c>
      <c r="G3188" s="1" t="str">
        <f t="shared" si="460"/>
        <v>Фізична особа</v>
      </c>
      <c r="H3188" s="1" t="s">
        <v>20</v>
      </c>
      <c r="I3188" s="1" t="s">
        <v>20</v>
      </c>
      <c r="J3188" s="1" t="str">
        <f>"Закрито"</f>
        <v>Закрито</v>
      </c>
      <c r="K3188" s="5">
        <v>45625</v>
      </c>
      <c r="L3188" s="1" t="s">
        <v>20</v>
      </c>
      <c r="M3188" s="1" t="s">
        <v>22</v>
      </c>
      <c r="N3188" s="5">
        <v>45625</v>
      </c>
    </row>
    <row r="3189" spans="1:14" x14ac:dyDescent="0.3">
      <c r="A3189" s="1" t="str">
        <f>"4_1046-11/2024/Ч"</f>
        <v>4_1046-11/2024/Ч</v>
      </c>
      <c r="B3189" s="6">
        <v>45625</v>
      </c>
      <c r="C3189" s="1" t="str">
        <f>"00155"</f>
        <v>00155</v>
      </c>
      <c r="D3189" s="2" t="str">
        <f>"Надання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палива"</f>
        <v>Надання субсидій для відшкодування витрат на оплату житлово-комунальних послуг, придбання скрапленого газу, твердого та рідкого пічного побутового палива</v>
      </c>
      <c r="E3189" s="1" t="str">
        <f>"03193413"</f>
        <v>03193413</v>
      </c>
      <c r="F3189" s="1" t="str">
        <f>"Управління соціального захисту населення Рогатинське відділення №3 Івано-Франківської райдержадміністрації"</f>
        <v>Управління соціального захисту населення Рогатинське відділення №3 Івано-Франківської райдержадміністрації</v>
      </c>
      <c r="G3189" s="1" t="str">
        <f t="shared" si="460"/>
        <v>Фізична особа</v>
      </c>
      <c r="H3189" s="1" t="s">
        <v>20</v>
      </c>
      <c r="I3189" s="1" t="s">
        <v>20</v>
      </c>
      <c r="J3189" s="1" t="str">
        <f>"Закрито"</f>
        <v>Закрито</v>
      </c>
      <c r="K3189" s="1" t="s">
        <v>20</v>
      </c>
      <c r="L3189" s="1" t="s">
        <v>20</v>
      </c>
      <c r="M3189" s="1" t="s">
        <v>22</v>
      </c>
      <c r="N3189" s="1" t="s">
        <v>20</v>
      </c>
    </row>
    <row r="3190" spans="1:14" s="3" customFormat="1" x14ac:dyDescent="0.3">
      <c r="D3190" s="4"/>
      <c r="K3190" s="9"/>
    </row>
    <row r="3191" spans="1:14" s="3" customFormat="1" x14ac:dyDescent="0.3">
      <c r="D3191" s="4"/>
      <c r="K3191" s="9"/>
    </row>
    <row r="3192" spans="1:14" s="3" customFormat="1" x14ac:dyDescent="0.3">
      <c r="D3192" s="4"/>
      <c r="K3192" s="9"/>
    </row>
    <row r="3193" spans="1:14" s="3" customFormat="1" x14ac:dyDescent="0.3">
      <c r="D3193" s="4"/>
      <c r="K3193" s="9"/>
    </row>
    <row r="3194" spans="1:14" s="3" customFormat="1" x14ac:dyDescent="0.3">
      <c r="D3194" s="4"/>
      <c r="K3194" s="9"/>
    </row>
    <row r="3195" spans="1:14" s="3" customFormat="1" x14ac:dyDescent="0.3">
      <c r="D3195" s="4"/>
      <c r="K3195" s="9"/>
    </row>
    <row r="3196" spans="1:14" s="3" customFormat="1" x14ac:dyDescent="0.3">
      <c r="D3196" s="4"/>
      <c r="K3196" s="9"/>
    </row>
    <row r="3197" spans="1:14" s="3" customFormat="1" x14ac:dyDescent="0.3">
      <c r="D3197" s="4"/>
      <c r="K3197" s="9"/>
    </row>
    <row r="3198" spans="1:14" s="3" customFormat="1" x14ac:dyDescent="0.3">
      <c r="D3198" s="4"/>
      <c r="K3198" s="9"/>
    </row>
    <row r="3199" spans="1:14" s="3" customFormat="1" x14ac:dyDescent="0.3">
      <c r="D3199" s="4"/>
      <c r="K3199" s="9"/>
    </row>
    <row r="3200" spans="1:14" s="3" customFormat="1" x14ac:dyDescent="0.3">
      <c r="D3200" s="4"/>
      <c r="K3200" s="9"/>
    </row>
    <row r="3201" spans="4:11" s="3" customFormat="1" x14ac:dyDescent="0.3">
      <c r="D3201" s="4"/>
      <c r="K3201" s="9"/>
    </row>
    <row r="3202" spans="4:11" s="3" customFormat="1" x14ac:dyDescent="0.3">
      <c r="D3202" s="4"/>
      <c r="K3202" s="9"/>
    </row>
    <row r="3203" spans="4:11" s="3" customFormat="1" x14ac:dyDescent="0.3">
      <c r="D3203" s="4"/>
      <c r="K3203" s="9"/>
    </row>
    <row r="3204" spans="4:11" s="3" customFormat="1" x14ac:dyDescent="0.3">
      <c r="D3204" s="4"/>
      <c r="K3204" s="9"/>
    </row>
    <row r="3205" spans="4:11" s="3" customFormat="1" x14ac:dyDescent="0.3">
      <c r="D3205" s="4"/>
      <c r="K3205" s="9"/>
    </row>
    <row r="3206" spans="4:11" s="3" customFormat="1" x14ac:dyDescent="0.3">
      <c r="D3206" s="4"/>
      <c r="K3206" s="9"/>
    </row>
    <row r="3207" spans="4:11" s="3" customFormat="1" x14ac:dyDescent="0.3">
      <c r="D3207" s="4"/>
      <c r="K3207" s="9"/>
    </row>
    <row r="3208" spans="4:11" s="3" customFormat="1" x14ac:dyDescent="0.3">
      <c r="D3208" s="4"/>
      <c r="K3208" s="9"/>
    </row>
    <row r="3209" spans="4:11" s="3" customFormat="1" x14ac:dyDescent="0.3">
      <c r="D3209" s="4"/>
      <c r="K3209" s="9"/>
    </row>
    <row r="3210" spans="4:11" s="3" customFormat="1" x14ac:dyDescent="0.3">
      <c r="D3210" s="4"/>
      <c r="K3210" s="9"/>
    </row>
    <row r="3211" spans="4:11" s="3" customFormat="1" x14ac:dyDescent="0.3">
      <c r="D3211" s="4"/>
      <c r="K3211" s="9"/>
    </row>
    <row r="3212" spans="4:11" s="3" customFormat="1" x14ac:dyDescent="0.3">
      <c r="D3212" s="4"/>
      <c r="K3212" s="9"/>
    </row>
    <row r="3213" spans="4:11" s="3" customFormat="1" x14ac:dyDescent="0.3">
      <c r="D3213" s="4"/>
      <c r="K3213" s="9"/>
    </row>
    <row r="3214" spans="4:11" s="3" customFormat="1" x14ac:dyDescent="0.3">
      <c r="D3214" s="4"/>
      <c r="K3214" s="9"/>
    </row>
    <row r="3215" spans="4:11" s="3" customFormat="1" x14ac:dyDescent="0.3">
      <c r="D3215" s="4"/>
      <c r="K3215" s="9"/>
    </row>
    <row r="3216" spans="4:11" s="3" customFormat="1" x14ac:dyDescent="0.3">
      <c r="D3216" s="4"/>
      <c r="K3216" s="9"/>
    </row>
    <row r="3217" spans="4:11" s="3" customFormat="1" x14ac:dyDescent="0.3">
      <c r="D3217" s="4"/>
      <c r="K3217" s="9"/>
    </row>
    <row r="3218" spans="4:11" s="3" customFormat="1" x14ac:dyDescent="0.3">
      <c r="D3218" s="4"/>
      <c r="K3218" s="9"/>
    </row>
    <row r="3219" spans="4:11" s="3" customFormat="1" x14ac:dyDescent="0.3">
      <c r="D3219" s="4"/>
      <c r="K3219" s="9"/>
    </row>
    <row r="3220" spans="4:11" s="3" customFormat="1" x14ac:dyDescent="0.3">
      <c r="D3220" s="4"/>
      <c r="K3220" s="9"/>
    </row>
    <row r="3221" spans="4:11" s="3" customFormat="1" x14ac:dyDescent="0.3">
      <c r="D3221" s="4"/>
      <c r="K3221" s="9"/>
    </row>
    <row r="3222" spans="4:11" s="3" customFormat="1" x14ac:dyDescent="0.3">
      <c r="D3222" s="4"/>
      <c r="K3222" s="9"/>
    </row>
    <row r="3223" spans="4:11" s="3" customFormat="1" x14ac:dyDescent="0.3">
      <c r="D3223" s="4"/>
      <c r="K3223" s="9"/>
    </row>
    <row r="3224" spans="4:11" s="3" customFormat="1" x14ac:dyDescent="0.3">
      <c r="D3224" s="4"/>
      <c r="K3224" s="9"/>
    </row>
    <row r="3225" spans="4:11" s="3" customFormat="1" x14ac:dyDescent="0.3">
      <c r="D3225" s="4"/>
      <c r="K3225" s="9"/>
    </row>
    <row r="3226" spans="4:11" s="3" customFormat="1" x14ac:dyDescent="0.3">
      <c r="D3226" s="4"/>
      <c r="K3226" s="9"/>
    </row>
    <row r="3227" spans="4:11" s="3" customFormat="1" x14ac:dyDescent="0.3">
      <c r="D3227" s="4"/>
      <c r="K3227" s="9"/>
    </row>
    <row r="3228" spans="4:11" s="3" customFormat="1" x14ac:dyDescent="0.3">
      <c r="D3228" s="4"/>
      <c r="K3228" s="9"/>
    </row>
    <row r="3229" spans="4:11" s="3" customFormat="1" x14ac:dyDescent="0.3">
      <c r="D3229" s="4"/>
      <c r="K3229" s="9"/>
    </row>
    <row r="3230" spans="4:11" s="3" customFormat="1" x14ac:dyDescent="0.3">
      <c r="D3230" s="4"/>
      <c r="K3230" s="9"/>
    </row>
    <row r="3231" spans="4:11" s="3" customFormat="1" x14ac:dyDescent="0.3">
      <c r="D3231" s="4"/>
      <c r="K3231" s="9"/>
    </row>
    <row r="3232" spans="4:11" s="3" customFormat="1" x14ac:dyDescent="0.3">
      <c r="D3232" s="4"/>
      <c r="K3232" s="9"/>
    </row>
    <row r="3233" spans="4:11" s="3" customFormat="1" x14ac:dyDescent="0.3">
      <c r="D3233" s="4"/>
      <c r="K3233" s="9"/>
    </row>
    <row r="3234" spans="4:11" s="3" customFormat="1" x14ac:dyDescent="0.3">
      <c r="D3234" s="4"/>
      <c r="K3234" s="9"/>
    </row>
    <row r="3235" spans="4:11" s="3" customFormat="1" x14ac:dyDescent="0.3">
      <c r="D3235" s="4"/>
      <c r="K3235" s="9"/>
    </row>
    <row r="3236" spans="4:11" s="3" customFormat="1" x14ac:dyDescent="0.3">
      <c r="D3236" s="4"/>
      <c r="K3236" s="9"/>
    </row>
    <row r="3237" spans="4:11" s="3" customFormat="1" x14ac:dyDescent="0.3">
      <c r="D3237" s="4"/>
      <c r="K3237" s="9"/>
    </row>
    <row r="3238" spans="4:11" s="3" customFormat="1" x14ac:dyDescent="0.3">
      <c r="D3238" s="4"/>
      <c r="K3238" s="9"/>
    </row>
    <row r="3239" spans="4:11" s="3" customFormat="1" x14ac:dyDescent="0.3">
      <c r="D3239" s="4"/>
      <c r="K3239" s="9"/>
    </row>
    <row r="3240" spans="4:11" s="3" customFormat="1" x14ac:dyDescent="0.3">
      <c r="D3240" s="4"/>
      <c r="K3240" s="9"/>
    </row>
    <row r="3241" spans="4:11" s="3" customFormat="1" x14ac:dyDescent="0.3">
      <c r="D3241" s="4"/>
      <c r="K3241" s="9"/>
    </row>
    <row r="3242" spans="4:11" s="3" customFormat="1" x14ac:dyDescent="0.3">
      <c r="D3242" s="4"/>
      <c r="K3242" s="9"/>
    </row>
    <row r="3243" spans="4:11" s="3" customFormat="1" x14ac:dyDescent="0.3">
      <c r="D3243" s="4"/>
      <c r="K3243" s="9"/>
    </row>
    <row r="3244" spans="4:11" s="3" customFormat="1" x14ac:dyDescent="0.3">
      <c r="D3244" s="4"/>
      <c r="K3244" s="9"/>
    </row>
    <row r="3245" spans="4:11" s="3" customFormat="1" x14ac:dyDescent="0.3">
      <c r="D3245" s="4"/>
      <c r="K3245" s="9"/>
    </row>
    <row r="3246" spans="4:11" s="3" customFormat="1" x14ac:dyDescent="0.3">
      <c r="D3246" s="4"/>
      <c r="K3246" s="9"/>
    </row>
    <row r="3247" spans="4:11" s="3" customFormat="1" x14ac:dyDescent="0.3">
      <c r="D3247" s="4"/>
      <c r="K3247" s="9"/>
    </row>
    <row r="3248" spans="4:11" s="3" customFormat="1" x14ac:dyDescent="0.3">
      <c r="D3248" s="4"/>
      <c r="K3248" s="9"/>
    </row>
    <row r="3249" spans="4:11" s="3" customFormat="1" x14ac:dyDescent="0.3">
      <c r="D3249" s="4"/>
      <c r="K3249" s="9"/>
    </row>
    <row r="3250" spans="4:11" s="3" customFormat="1" x14ac:dyDescent="0.3">
      <c r="D3250" s="4"/>
      <c r="K3250" s="9"/>
    </row>
    <row r="3251" spans="4:11" s="3" customFormat="1" x14ac:dyDescent="0.3">
      <c r="D3251" s="4"/>
      <c r="K3251" s="9"/>
    </row>
    <row r="3252" spans="4:11" s="3" customFormat="1" x14ac:dyDescent="0.3">
      <c r="D3252" s="4"/>
      <c r="K3252" s="9"/>
    </row>
    <row r="3253" spans="4:11" s="3" customFormat="1" x14ac:dyDescent="0.3">
      <c r="D3253" s="4"/>
      <c r="K3253" s="9"/>
    </row>
    <row r="3254" spans="4:11" s="3" customFormat="1" x14ac:dyDescent="0.3">
      <c r="D3254" s="4"/>
      <c r="K3254" s="9"/>
    </row>
    <row r="3255" spans="4:11" s="3" customFormat="1" x14ac:dyDescent="0.3">
      <c r="D3255" s="4"/>
      <c r="K3255" s="9"/>
    </row>
    <row r="3256" spans="4:11" s="3" customFormat="1" x14ac:dyDescent="0.3">
      <c r="D3256" s="4"/>
      <c r="K3256" s="9"/>
    </row>
    <row r="3257" spans="4:11" s="3" customFormat="1" x14ac:dyDescent="0.3">
      <c r="D3257" s="4"/>
      <c r="K3257" s="9"/>
    </row>
    <row r="3258" spans="4:11" s="3" customFormat="1" x14ac:dyDescent="0.3">
      <c r="D3258" s="4"/>
      <c r="K3258" s="9"/>
    </row>
    <row r="3259" spans="4:11" s="3" customFormat="1" x14ac:dyDescent="0.3">
      <c r="D3259" s="4"/>
      <c r="K3259" s="9"/>
    </row>
    <row r="3260" spans="4:11" s="3" customFormat="1" x14ac:dyDescent="0.3">
      <c r="D3260" s="4"/>
      <c r="K3260" s="9"/>
    </row>
    <row r="3261" spans="4:11" s="3" customFormat="1" x14ac:dyDescent="0.3">
      <c r="D3261" s="4"/>
      <c r="K3261" s="9"/>
    </row>
    <row r="3262" spans="4:11" s="3" customFormat="1" x14ac:dyDescent="0.3">
      <c r="D3262" s="4"/>
      <c r="K3262" s="9"/>
    </row>
    <row r="3263" spans="4:11" s="3" customFormat="1" x14ac:dyDescent="0.3">
      <c r="D3263" s="4"/>
      <c r="K3263" s="9"/>
    </row>
    <row r="3264" spans="4:11" s="3" customFormat="1" x14ac:dyDescent="0.3">
      <c r="D3264" s="4"/>
      <c r="K3264" s="9"/>
    </row>
    <row r="3265" spans="4:11" s="3" customFormat="1" x14ac:dyDescent="0.3">
      <c r="D3265" s="4"/>
      <c r="K3265" s="9"/>
    </row>
    <row r="3266" spans="4:11" s="3" customFormat="1" x14ac:dyDescent="0.3">
      <c r="D3266" s="4"/>
      <c r="K3266" s="9"/>
    </row>
    <row r="3267" spans="4:11" s="3" customFormat="1" x14ac:dyDescent="0.3">
      <c r="D3267" s="4"/>
      <c r="K3267" s="9"/>
    </row>
    <row r="3268" spans="4:11" s="3" customFormat="1" x14ac:dyDescent="0.3">
      <c r="D3268" s="4"/>
      <c r="K3268" s="9"/>
    </row>
    <row r="3269" spans="4:11" s="3" customFormat="1" x14ac:dyDescent="0.3">
      <c r="D3269" s="4"/>
      <c r="K3269" s="9"/>
    </row>
    <row r="3270" spans="4:11" s="3" customFormat="1" x14ac:dyDescent="0.3">
      <c r="D3270" s="4"/>
      <c r="K3270" s="9"/>
    </row>
    <row r="3271" spans="4:11" s="3" customFormat="1" x14ac:dyDescent="0.3">
      <c r="D3271" s="4"/>
      <c r="K3271" s="9"/>
    </row>
    <row r="3272" spans="4:11" s="3" customFormat="1" x14ac:dyDescent="0.3">
      <c r="D3272" s="4"/>
      <c r="K3272" s="9"/>
    </row>
    <row r="3273" spans="4:11" s="3" customFormat="1" x14ac:dyDescent="0.3">
      <c r="D3273" s="4"/>
      <c r="K3273" s="9"/>
    </row>
    <row r="3274" spans="4:11" s="3" customFormat="1" x14ac:dyDescent="0.3">
      <c r="D3274" s="4"/>
      <c r="K3274" s="9"/>
    </row>
    <row r="3275" spans="4:11" s="3" customFormat="1" x14ac:dyDescent="0.3">
      <c r="D3275" s="4"/>
      <c r="K3275" s="9"/>
    </row>
    <row r="3276" spans="4:11" s="3" customFormat="1" x14ac:dyDescent="0.3">
      <c r="D3276" s="4"/>
      <c r="K3276" s="9"/>
    </row>
    <row r="3277" spans="4:11" s="3" customFormat="1" x14ac:dyDescent="0.3">
      <c r="D3277" s="4"/>
      <c r="K3277" s="9"/>
    </row>
    <row r="3278" spans="4:11" s="3" customFormat="1" x14ac:dyDescent="0.3">
      <c r="D3278" s="4"/>
      <c r="K3278" s="9"/>
    </row>
    <row r="3279" spans="4:11" s="3" customFormat="1" x14ac:dyDescent="0.3">
      <c r="D3279" s="4"/>
      <c r="K3279" s="9"/>
    </row>
    <row r="3280" spans="4:11" s="3" customFormat="1" x14ac:dyDescent="0.3">
      <c r="D3280" s="4"/>
      <c r="K3280" s="9"/>
    </row>
    <row r="3281" spans="4:11" s="3" customFormat="1" x14ac:dyDescent="0.3">
      <c r="D3281" s="4"/>
      <c r="K3281" s="9"/>
    </row>
    <row r="3282" spans="4:11" s="3" customFormat="1" x14ac:dyDescent="0.3">
      <c r="D3282" s="4"/>
      <c r="K3282" s="9"/>
    </row>
    <row r="3283" spans="4:11" s="3" customFormat="1" x14ac:dyDescent="0.3">
      <c r="D3283" s="4"/>
      <c r="K3283" s="9"/>
    </row>
    <row r="3284" spans="4:11" s="3" customFormat="1" x14ac:dyDescent="0.3">
      <c r="D3284" s="4"/>
      <c r="K3284" s="9"/>
    </row>
    <row r="3285" spans="4:11" s="3" customFormat="1" x14ac:dyDescent="0.3">
      <c r="D3285" s="4"/>
      <c r="K3285" s="9"/>
    </row>
    <row r="3286" spans="4:11" s="3" customFormat="1" x14ac:dyDescent="0.3">
      <c r="D3286" s="4"/>
      <c r="K3286" s="9"/>
    </row>
    <row r="3287" spans="4:11" s="3" customFormat="1" x14ac:dyDescent="0.3">
      <c r="D3287" s="4"/>
      <c r="K3287" s="9"/>
    </row>
    <row r="3288" spans="4:11" s="3" customFormat="1" x14ac:dyDescent="0.3">
      <c r="D3288" s="4"/>
      <c r="K3288" s="9"/>
    </row>
    <row r="3289" spans="4:11" s="3" customFormat="1" x14ac:dyDescent="0.3">
      <c r="D3289" s="4"/>
      <c r="K3289" s="9"/>
    </row>
    <row r="3290" spans="4:11" s="3" customFormat="1" x14ac:dyDescent="0.3">
      <c r="D3290" s="4"/>
      <c r="K3290" s="9"/>
    </row>
    <row r="3291" spans="4:11" s="3" customFormat="1" x14ac:dyDescent="0.3">
      <c r="D3291" s="4"/>
      <c r="K3291" s="9"/>
    </row>
    <row r="3292" spans="4:11" s="3" customFormat="1" x14ac:dyDescent="0.3">
      <c r="D3292" s="4"/>
      <c r="K3292" s="9"/>
    </row>
    <row r="3293" spans="4:11" s="3" customFormat="1" x14ac:dyDescent="0.3">
      <c r="D3293" s="4"/>
      <c r="K3293" s="9"/>
    </row>
    <row r="3294" spans="4:11" s="3" customFormat="1" x14ac:dyDescent="0.3">
      <c r="D3294" s="4"/>
      <c r="K3294" s="9"/>
    </row>
    <row r="3295" spans="4:11" s="3" customFormat="1" x14ac:dyDescent="0.3">
      <c r="D3295" s="4"/>
      <c r="K3295" s="9"/>
    </row>
    <row r="3296" spans="4:11" s="3" customFormat="1" x14ac:dyDescent="0.3">
      <c r="D3296" s="4"/>
      <c r="K3296" s="9"/>
    </row>
    <row r="3297" spans="4:11" s="3" customFormat="1" x14ac:dyDescent="0.3">
      <c r="D3297" s="4"/>
      <c r="K3297" s="9"/>
    </row>
    <row r="3298" spans="4:11" s="3" customFormat="1" x14ac:dyDescent="0.3">
      <c r="D3298" s="4"/>
      <c r="K3298" s="9"/>
    </row>
    <row r="3299" spans="4:11" s="3" customFormat="1" x14ac:dyDescent="0.3">
      <c r="D3299" s="4"/>
      <c r="K3299" s="9"/>
    </row>
    <row r="3300" spans="4:11" s="3" customFormat="1" x14ac:dyDescent="0.3">
      <c r="D3300" s="4"/>
      <c r="K3300" s="9"/>
    </row>
    <row r="3301" spans="4:11" s="3" customFormat="1" x14ac:dyDescent="0.3">
      <c r="D3301" s="4"/>
      <c r="K3301" s="9"/>
    </row>
    <row r="3302" spans="4:11" s="3" customFormat="1" x14ac:dyDescent="0.3">
      <c r="D3302" s="4"/>
      <c r="K3302" s="9"/>
    </row>
    <row r="3303" spans="4:11" s="3" customFormat="1" x14ac:dyDescent="0.3">
      <c r="D3303" s="4"/>
      <c r="K3303" s="9"/>
    </row>
    <row r="3304" spans="4:11" s="3" customFormat="1" x14ac:dyDescent="0.3">
      <c r="D3304" s="4"/>
      <c r="K3304" s="9"/>
    </row>
    <row r="3305" spans="4:11" s="3" customFormat="1" x14ac:dyDescent="0.3">
      <c r="D3305" s="4"/>
      <c r="K3305" s="9"/>
    </row>
    <row r="3306" spans="4:11" s="3" customFormat="1" x14ac:dyDescent="0.3">
      <c r="D3306" s="4"/>
      <c r="K3306" s="9"/>
    </row>
    <row r="3307" spans="4:11" s="3" customFormat="1" x14ac:dyDescent="0.3">
      <c r="D3307" s="4"/>
      <c r="K3307" s="9"/>
    </row>
    <row r="3308" spans="4:11" s="3" customFormat="1" x14ac:dyDescent="0.3">
      <c r="D3308" s="4"/>
      <c r="K3308" s="9"/>
    </row>
    <row r="3309" spans="4:11" s="3" customFormat="1" x14ac:dyDescent="0.3">
      <c r="D3309" s="4"/>
      <c r="K3309" s="9"/>
    </row>
    <row r="3310" spans="4:11" s="3" customFormat="1" x14ac:dyDescent="0.3">
      <c r="D3310" s="4"/>
      <c r="K3310" s="9"/>
    </row>
    <row r="3311" spans="4:11" s="3" customFormat="1" x14ac:dyDescent="0.3">
      <c r="D3311" s="4"/>
      <c r="K3311" s="9"/>
    </row>
    <row r="3312" spans="4:11" s="3" customFormat="1" x14ac:dyDescent="0.3">
      <c r="D3312" s="4"/>
      <c r="K3312" s="9"/>
    </row>
    <row r="3313" spans="4:11" s="3" customFormat="1" x14ac:dyDescent="0.3">
      <c r="D3313" s="4"/>
      <c r="K3313" s="9"/>
    </row>
    <row r="3314" spans="4:11" s="3" customFormat="1" x14ac:dyDescent="0.3">
      <c r="D3314" s="4"/>
      <c r="K3314" s="9"/>
    </row>
    <row r="3315" spans="4:11" s="3" customFormat="1" x14ac:dyDescent="0.3">
      <c r="D3315" s="4"/>
      <c r="K3315" s="9"/>
    </row>
    <row r="3316" spans="4:11" s="3" customFormat="1" x14ac:dyDescent="0.3">
      <c r="D3316" s="4"/>
      <c r="K3316" s="9"/>
    </row>
    <row r="3317" spans="4:11" s="3" customFormat="1" x14ac:dyDescent="0.3">
      <c r="D3317" s="4"/>
      <c r="K3317" s="9"/>
    </row>
    <row r="3318" spans="4:11" s="3" customFormat="1" x14ac:dyDescent="0.3">
      <c r="D3318" s="4"/>
      <c r="K3318" s="9"/>
    </row>
    <row r="3319" spans="4:11" s="3" customFormat="1" x14ac:dyDescent="0.3">
      <c r="D3319" s="4"/>
      <c r="K3319" s="9"/>
    </row>
    <row r="3320" spans="4:11" s="3" customFormat="1" x14ac:dyDescent="0.3">
      <c r="D3320" s="4"/>
      <c r="K3320" s="9"/>
    </row>
    <row r="3321" spans="4:11" s="3" customFormat="1" x14ac:dyDescent="0.3">
      <c r="D3321" s="4"/>
      <c r="K3321" s="9"/>
    </row>
    <row r="3322" spans="4:11" s="3" customFormat="1" x14ac:dyDescent="0.3">
      <c r="D3322" s="4"/>
      <c r="K3322" s="9"/>
    </row>
    <row r="3323" spans="4:11" s="3" customFormat="1" x14ac:dyDescent="0.3">
      <c r="D3323" s="4"/>
      <c r="K3323" s="9"/>
    </row>
    <row r="3324" spans="4:11" s="3" customFormat="1" x14ac:dyDescent="0.3">
      <c r="D3324" s="4"/>
      <c r="K3324" s="9"/>
    </row>
    <row r="3325" spans="4:11" s="3" customFormat="1" x14ac:dyDescent="0.3">
      <c r="D3325" s="4"/>
      <c r="K3325" s="9"/>
    </row>
    <row r="3326" spans="4:11" s="3" customFormat="1" x14ac:dyDescent="0.3">
      <c r="D3326" s="4"/>
      <c r="K3326" s="9"/>
    </row>
    <row r="3327" spans="4:11" s="3" customFormat="1" x14ac:dyDescent="0.3">
      <c r="D3327" s="4"/>
      <c r="K3327" s="9"/>
    </row>
    <row r="3328" spans="4:11" s="3" customFormat="1" x14ac:dyDescent="0.3">
      <c r="D3328" s="4"/>
      <c r="K3328" s="9"/>
    </row>
    <row r="3329" spans="4:11" s="3" customFormat="1" x14ac:dyDescent="0.3">
      <c r="D3329" s="4"/>
      <c r="K3329" s="9"/>
    </row>
    <row r="3330" spans="4:11" s="3" customFormat="1" x14ac:dyDescent="0.3">
      <c r="D3330" s="4"/>
      <c r="K3330" s="9"/>
    </row>
    <row r="3331" spans="4:11" s="3" customFormat="1" x14ac:dyDescent="0.3">
      <c r="D3331" s="4"/>
      <c r="K3331" s="9"/>
    </row>
    <row r="3332" spans="4:11" s="3" customFormat="1" x14ac:dyDescent="0.3">
      <c r="D3332" s="4"/>
      <c r="K3332" s="9"/>
    </row>
    <row r="3333" spans="4:11" s="3" customFormat="1" x14ac:dyDescent="0.3">
      <c r="D3333" s="4"/>
      <c r="K3333" s="9"/>
    </row>
    <row r="3334" spans="4:11" s="3" customFormat="1" x14ac:dyDescent="0.3">
      <c r="D3334" s="4"/>
      <c r="K3334" s="9"/>
    </row>
    <row r="3335" spans="4:11" s="3" customFormat="1" x14ac:dyDescent="0.3">
      <c r="D3335" s="4"/>
      <c r="K3335" s="9"/>
    </row>
    <row r="3336" spans="4:11" s="3" customFormat="1" x14ac:dyDescent="0.3">
      <c r="D3336" s="4"/>
      <c r="K3336" s="9"/>
    </row>
    <row r="3337" spans="4:11" s="3" customFormat="1" x14ac:dyDescent="0.3">
      <c r="D3337" s="4"/>
      <c r="K3337" s="9"/>
    </row>
    <row r="3338" spans="4:11" s="3" customFormat="1" x14ac:dyDescent="0.3">
      <c r="D3338" s="4"/>
      <c r="K3338" s="9"/>
    </row>
    <row r="3339" spans="4:11" s="3" customFormat="1" x14ac:dyDescent="0.3">
      <c r="D3339" s="4"/>
      <c r="K3339" s="9"/>
    </row>
    <row r="3340" spans="4:11" s="3" customFormat="1" x14ac:dyDescent="0.3">
      <c r="D3340" s="4"/>
      <c r="K3340" s="9"/>
    </row>
    <row r="3341" spans="4:11" s="3" customFormat="1" x14ac:dyDescent="0.3">
      <c r="D3341" s="4"/>
      <c r="K3341" s="9"/>
    </row>
    <row r="3342" spans="4:11" s="3" customFormat="1" x14ac:dyDescent="0.3">
      <c r="D3342" s="4"/>
      <c r="K3342" s="9"/>
    </row>
    <row r="3343" spans="4:11" s="3" customFormat="1" x14ac:dyDescent="0.3">
      <c r="D3343" s="4"/>
      <c r="K3343" s="9"/>
    </row>
    <row r="3344" spans="4:11" s="3" customFormat="1" x14ac:dyDescent="0.3">
      <c r="D3344" s="4"/>
      <c r="K3344" s="9"/>
    </row>
    <row r="3345" spans="4:11" s="3" customFormat="1" x14ac:dyDescent="0.3">
      <c r="D3345" s="4"/>
      <c r="K3345" s="9"/>
    </row>
    <row r="3346" spans="4:11" s="3" customFormat="1" x14ac:dyDescent="0.3">
      <c r="D3346" s="4"/>
      <c r="K3346" s="9"/>
    </row>
    <row r="3347" spans="4:11" s="3" customFormat="1" x14ac:dyDescent="0.3">
      <c r="D3347" s="4"/>
      <c r="K3347" s="9"/>
    </row>
    <row r="3348" spans="4:11" s="3" customFormat="1" x14ac:dyDescent="0.3">
      <c r="D3348" s="4"/>
      <c r="K3348" s="9"/>
    </row>
    <row r="3349" spans="4:11" s="3" customFormat="1" x14ac:dyDescent="0.3">
      <c r="D3349" s="4"/>
      <c r="K3349" s="9"/>
    </row>
    <row r="3350" spans="4:11" s="3" customFormat="1" x14ac:dyDescent="0.3">
      <c r="D3350" s="4"/>
      <c r="K3350" s="9"/>
    </row>
    <row r="3351" spans="4:11" s="3" customFormat="1" x14ac:dyDescent="0.3">
      <c r="D3351" s="4"/>
      <c r="K3351" s="9"/>
    </row>
    <row r="3352" spans="4:11" s="3" customFormat="1" x14ac:dyDescent="0.3">
      <c r="D3352" s="4"/>
      <c r="K3352" s="9"/>
    </row>
    <row r="3353" spans="4:11" s="3" customFormat="1" x14ac:dyDescent="0.3">
      <c r="D3353" s="4"/>
      <c r="K3353" s="9"/>
    </row>
    <row r="3354" spans="4:11" s="3" customFormat="1" x14ac:dyDescent="0.3">
      <c r="D3354" s="4"/>
      <c r="K3354" s="9"/>
    </row>
    <row r="3355" spans="4:11" s="3" customFormat="1" x14ac:dyDescent="0.3">
      <c r="D3355" s="4"/>
      <c r="K3355" s="9"/>
    </row>
    <row r="3356" spans="4:11" s="3" customFormat="1" x14ac:dyDescent="0.3">
      <c r="D3356" s="4"/>
      <c r="K3356" s="9"/>
    </row>
    <row r="3357" spans="4:11" s="3" customFormat="1" x14ac:dyDescent="0.3">
      <c r="D3357" s="4"/>
      <c r="K3357" s="9"/>
    </row>
    <row r="3358" spans="4:11" s="3" customFormat="1" x14ac:dyDescent="0.3">
      <c r="D3358" s="4"/>
      <c r="K3358" s="9"/>
    </row>
    <row r="3359" spans="4:11" s="3" customFormat="1" x14ac:dyDescent="0.3">
      <c r="D3359" s="4"/>
      <c r="K3359" s="9"/>
    </row>
    <row r="3360" spans="4:11" s="3" customFormat="1" x14ac:dyDescent="0.3">
      <c r="D3360" s="4"/>
      <c r="K3360" s="9"/>
    </row>
    <row r="3361" spans="4:11" s="3" customFormat="1" x14ac:dyDescent="0.3">
      <c r="D3361" s="4"/>
      <c r="K3361" s="9"/>
    </row>
    <row r="3362" spans="4:11" s="3" customFormat="1" x14ac:dyDescent="0.3">
      <c r="D3362" s="4"/>
      <c r="K3362" s="9"/>
    </row>
    <row r="3363" spans="4:11" s="3" customFormat="1" x14ac:dyDescent="0.3">
      <c r="D3363" s="4"/>
      <c r="K3363" s="9"/>
    </row>
    <row r="3364" spans="4:11" s="3" customFormat="1" x14ac:dyDescent="0.3">
      <c r="D3364" s="4"/>
      <c r="K3364" s="9"/>
    </row>
    <row r="3365" spans="4:11" s="3" customFormat="1" x14ac:dyDescent="0.3">
      <c r="D3365" s="4"/>
      <c r="K3365" s="9"/>
    </row>
    <row r="3366" spans="4:11" s="3" customFormat="1" x14ac:dyDescent="0.3">
      <c r="D3366" s="4"/>
      <c r="K3366" s="9"/>
    </row>
    <row r="3367" spans="4:11" s="3" customFormat="1" x14ac:dyDescent="0.3">
      <c r="D3367" s="4"/>
      <c r="K3367" s="9"/>
    </row>
    <row r="3368" spans="4:11" s="3" customFormat="1" x14ac:dyDescent="0.3">
      <c r="D3368" s="4"/>
      <c r="K3368" s="9"/>
    </row>
    <row r="3369" spans="4:11" s="3" customFormat="1" x14ac:dyDescent="0.3">
      <c r="D3369" s="4"/>
      <c r="K3369" s="9"/>
    </row>
    <row r="3370" spans="4:11" s="3" customFormat="1" x14ac:dyDescent="0.3">
      <c r="D3370" s="4"/>
      <c r="K3370" s="9"/>
    </row>
    <row r="3371" spans="4:11" s="3" customFormat="1" x14ac:dyDescent="0.3">
      <c r="D3371" s="4"/>
      <c r="K3371" s="9"/>
    </row>
    <row r="3372" spans="4:11" s="3" customFormat="1" x14ac:dyDescent="0.3">
      <c r="D3372" s="4"/>
      <c r="K3372" s="9"/>
    </row>
    <row r="3373" spans="4:11" s="3" customFormat="1" x14ac:dyDescent="0.3">
      <c r="D3373" s="4"/>
      <c r="K3373" s="9"/>
    </row>
    <row r="3374" spans="4:11" s="3" customFormat="1" x14ac:dyDescent="0.3">
      <c r="D3374" s="4"/>
      <c r="K3374" s="9"/>
    </row>
    <row r="3375" spans="4:11" s="3" customFormat="1" x14ac:dyDescent="0.3">
      <c r="D3375" s="4"/>
      <c r="K3375" s="9"/>
    </row>
    <row r="3376" spans="4:11" s="3" customFormat="1" x14ac:dyDescent="0.3">
      <c r="D3376" s="4"/>
      <c r="K3376" s="9"/>
    </row>
    <row r="3377" spans="4:11" s="3" customFormat="1" x14ac:dyDescent="0.3">
      <c r="D3377" s="4"/>
      <c r="K3377" s="9"/>
    </row>
    <row r="3378" spans="4:11" s="3" customFormat="1" x14ac:dyDescent="0.3">
      <c r="D3378" s="4"/>
      <c r="K3378" s="9"/>
    </row>
    <row r="3379" spans="4:11" s="3" customFormat="1" x14ac:dyDescent="0.3">
      <c r="D3379" s="4"/>
      <c r="K3379" s="9"/>
    </row>
    <row r="3380" spans="4:11" s="3" customFormat="1" x14ac:dyDescent="0.3">
      <c r="D3380" s="4"/>
      <c r="K3380" s="9"/>
    </row>
    <row r="3381" spans="4:11" s="3" customFormat="1" x14ac:dyDescent="0.3">
      <c r="D3381" s="4"/>
      <c r="K3381" s="9"/>
    </row>
    <row r="3382" spans="4:11" s="3" customFormat="1" x14ac:dyDescent="0.3">
      <c r="D3382" s="4"/>
      <c r="K3382" s="9"/>
    </row>
    <row r="3383" spans="4:11" s="3" customFormat="1" x14ac:dyDescent="0.3">
      <c r="D3383" s="4"/>
      <c r="K3383" s="9"/>
    </row>
    <row r="3384" spans="4:11" s="3" customFormat="1" x14ac:dyDescent="0.3">
      <c r="D3384" s="4"/>
      <c r="K3384" s="9"/>
    </row>
    <row r="3385" spans="4:11" s="3" customFormat="1" x14ac:dyDescent="0.3">
      <c r="D3385" s="4"/>
      <c r="K3385" s="9"/>
    </row>
    <row r="3386" spans="4:11" s="3" customFormat="1" x14ac:dyDescent="0.3">
      <c r="D3386" s="4"/>
      <c r="K3386" s="9"/>
    </row>
    <row r="3387" spans="4:11" s="3" customFormat="1" x14ac:dyDescent="0.3">
      <c r="D3387" s="4"/>
      <c r="K3387" s="9"/>
    </row>
    <row r="3388" spans="4:11" s="3" customFormat="1" x14ac:dyDescent="0.3">
      <c r="D3388" s="4"/>
      <c r="K3388" s="9"/>
    </row>
    <row r="3389" spans="4:11" s="3" customFormat="1" x14ac:dyDescent="0.3">
      <c r="D3389" s="4"/>
      <c r="K3389" s="9"/>
    </row>
    <row r="3390" spans="4:11" s="3" customFormat="1" x14ac:dyDescent="0.3">
      <c r="D3390" s="4"/>
      <c r="K3390" s="9"/>
    </row>
    <row r="3391" spans="4:11" s="3" customFormat="1" x14ac:dyDescent="0.3">
      <c r="D3391" s="4"/>
      <c r="K3391" s="9"/>
    </row>
    <row r="3392" spans="4:11" s="3" customFormat="1" x14ac:dyDescent="0.3">
      <c r="D3392" s="4"/>
      <c r="K3392" s="9"/>
    </row>
    <row r="3393" spans="4:11" s="3" customFormat="1" x14ac:dyDescent="0.3">
      <c r="D3393" s="4"/>
      <c r="K3393" s="9"/>
    </row>
    <row r="3394" spans="4:11" s="3" customFormat="1" x14ac:dyDescent="0.3">
      <c r="D3394" s="4"/>
      <c r="K3394" s="9"/>
    </row>
    <row r="3395" spans="4:11" s="3" customFormat="1" x14ac:dyDescent="0.3">
      <c r="D3395" s="4"/>
      <c r="K3395" s="9"/>
    </row>
    <row r="3396" spans="4:11" s="3" customFormat="1" x14ac:dyDescent="0.3">
      <c r="D3396" s="4"/>
      <c r="K3396" s="9"/>
    </row>
    <row r="3397" spans="4:11" s="3" customFormat="1" x14ac:dyDescent="0.3">
      <c r="D3397" s="4"/>
      <c r="K3397" s="9"/>
    </row>
    <row r="3398" spans="4:11" s="3" customFormat="1" x14ac:dyDescent="0.3">
      <c r="D3398" s="4"/>
      <c r="K3398" s="9"/>
    </row>
    <row r="3399" spans="4:11" s="3" customFormat="1" x14ac:dyDescent="0.3">
      <c r="D3399" s="4"/>
      <c r="K3399" s="9"/>
    </row>
    <row r="3400" spans="4:11" s="3" customFormat="1" x14ac:dyDescent="0.3">
      <c r="D3400" s="4"/>
      <c r="K3400" s="9"/>
    </row>
    <row r="3401" spans="4:11" s="3" customFormat="1" x14ac:dyDescent="0.3">
      <c r="D3401" s="4"/>
      <c r="K3401" s="9"/>
    </row>
    <row r="3402" spans="4:11" s="3" customFormat="1" x14ac:dyDescent="0.3">
      <c r="D3402" s="4"/>
      <c r="K3402" s="9"/>
    </row>
    <row r="3403" spans="4:11" s="3" customFormat="1" x14ac:dyDescent="0.3">
      <c r="D3403" s="4"/>
      <c r="K3403" s="9"/>
    </row>
    <row r="3404" spans="4:11" s="3" customFormat="1" x14ac:dyDescent="0.3">
      <c r="D3404" s="4"/>
      <c r="K3404" s="9"/>
    </row>
    <row r="3405" spans="4:11" s="3" customFormat="1" x14ac:dyDescent="0.3">
      <c r="D3405" s="4"/>
      <c r="K3405" s="9"/>
    </row>
    <row r="3406" spans="4:11" s="3" customFormat="1" x14ac:dyDescent="0.3">
      <c r="D3406" s="4"/>
      <c r="K3406" s="9"/>
    </row>
    <row r="3407" spans="4:11" s="3" customFormat="1" x14ac:dyDescent="0.3">
      <c r="D3407" s="4"/>
      <c r="K3407" s="9"/>
    </row>
    <row r="3408" spans="4:11" s="3" customFormat="1" x14ac:dyDescent="0.3">
      <c r="D3408" s="4"/>
      <c r="K3408" s="9"/>
    </row>
    <row r="3409" spans="4:11" s="3" customFormat="1" x14ac:dyDescent="0.3">
      <c r="D3409" s="4"/>
      <c r="K3409" s="9"/>
    </row>
    <row r="3410" spans="4:11" s="3" customFormat="1" x14ac:dyDescent="0.3">
      <c r="D3410" s="4"/>
      <c r="K3410" s="9"/>
    </row>
    <row r="3411" spans="4:11" s="3" customFormat="1" x14ac:dyDescent="0.3">
      <c r="D3411" s="4"/>
      <c r="K3411" s="9"/>
    </row>
    <row r="3412" spans="4:11" s="3" customFormat="1" x14ac:dyDescent="0.3">
      <c r="D3412" s="4"/>
      <c r="K3412" s="9"/>
    </row>
    <row r="3413" spans="4:11" s="3" customFormat="1" x14ac:dyDescent="0.3">
      <c r="D3413" s="4"/>
      <c r="K3413" s="9"/>
    </row>
    <row r="3414" spans="4:11" s="3" customFormat="1" x14ac:dyDescent="0.3">
      <c r="D3414" s="4"/>
      <c r="K3414" s="9"/>
    </row>
    <row r="3415" spans="4:11" s="3" customFormat="1" x14ac:dyDescent="0.3">
      <c r="D3415" s="4"/>
      <c r="K3415" s="9"/>
    </row>
    <row r="3416" spans="4:11" s="3" customFormat="1" x14ac:dyDescent="0.3">
      <c r="D3416" s="4"/>
      <c r="K3416" s="9"/>
    </row>
    <row r="3417" spans="4:11" s="3" customFormat="1" x14ac:dyDescent="0.3">
      <c r="D3417" s="4"/>
      <c r="K3417" s="9"/>
    </row>
    <row r="3418" spans="4:11" s="3" customFormat="1" x14ac:dyDescent="0.3">
      <c r="D3418" s="4"/>
      <c r="K3418" s="9"/>
    </row>
    <row r="3419" spans="4:11" s="3" customFormat="1" x14ac:dyDescent="0.3">
      <c r="D3419" s="4"/>
      <c r="K3419" s="9"/>
    </row>
    <row r="3420" spans="4:11" s="3" customFormat="1" x14ac:dyDescent="0.3">
      <c r="D3420" s="4"/>
      <c r="K3420" s="9"/>
    </row>
    <row r="3421" spans="4:11" s="3" customFormat="1" x14ac:dyDescent="0.3">
      <c r="D3421" s="4"/>
      <c r="K3421" s="9"/>
    </row>
    <row r="3422" spans="4:11" s="3" customFormat="1" x14ac:dyDescent="0.3">
      <c r="D3422" s="4"/>
      <c r="K3422" s="9"/>
    </row>
    <row r="3423" spans="4:11" s="3" customFormat="1" x14ac:dyDescent="0.3">
      <c r="D3423" s="4"/>
      <c r="K3423" s="9"/>
    </row>
    <row r="3424" spans="4:11" s="3" customFormat="1" x14ac:dyDescent="0.3">
      <c r="D3424" s="4"/>
      <c r="K3424" s="9"/>
    </row>
    <row r="3425" spans="4:11" s="3" customFormat="1" x14ac:dyDescent="0.3">
      <c r="D3425" s="4"/>
      <c r="K3425" s="9"/>
    </row>
    <row r="3426" spans="4:11" s="3" customFormat="1" x14ac:dyDescent="0.3">
      <c r="D3426" s="4"/>
      <c r="K3426" s="9"/>
    </row>
    <row r="3427" spans="4:11" s="3" customFormat="1" x14ac:dyDescent="0.3">
      <c r="D3427" s="4"/>
      <c r="K3427" s="9"/>
    </row>
    <row r="3428" spans="4:11" s="3" customFormat="1" x14ac:dyDescent="0.3">
      <c r="D3428" s="4"/>
      <c r="K3428" s="9"/>
    </row>
    <row r="3429" spans="4:11" s="3" customFormat="1" x14ac:dyDescent="0.3">
      <c r="D3429" s="4"/>
      <c r="K3429" s="9"/>
    </row>
    <row r="3430" spans="4:11" s="3" customFormat="1" x14ac:dyDescent="0.3">
      <c r="D3430" s="4"/>
      <c r="K3430" s="9"/>
    </row>
    <row r="3431" spans="4:11" s="3" customFormat="1" x14ac:dyDescent="0.3">
      <c r="D3431" s="4"/>
      <c r="K3431" s="9"/>
    </row>
    <row r="3432" spans="4:11" s="3" customFormat="1" x14ac:dyDescent="0.3">
      <c r="D3432" s="4"/>
      <c r="K3432" s="9"/>
    </row>
    <row r="3433" spans="4:11" s="3" customFormat="1" x14ac:dyDescent="0.3">
      <c r="D3433" s="4"/>
      <c r="K3433" s="9"/>
    </row>
    <row r="3434" spans="4:11" s="3" customFormat="1" x14ac:dyDescent="0.3">
      <c r="D3434" s="4"/>
      <c r="K3434" s="9"/>
    </row>
    <row r="3435" spans="4:11" s="3" customFormat="1" x14ac:dyDescent="0.3">
      <c r="D3435" s="4"/>
      <c r="K3435" s="9"/>
    </row>
    <row r="3436" spans="4:11" s="3" customFormat="1" x14ac:dyDescent="0.3">
      <c r="D3436" s="4"/>
      <c r="K3436" s="9"/>
    </row>
    <row r="3437" spans="4:11" s="3" customFormat="1" x14ac:dyDescent="0.3">
      <c r="D3437" s="4"/>
      <c r="K3437" s="9"/>
    </row>
    <row r="3438" spans="4:11" s="3" customFormat="1" x14ac:dyDescent="0.3">
      <c r="D3438" s="4"/>
      <c r="K3438" s="9"/>
    </row>
    <row r="3439" spans="4:11" s="3" customFormat="1" x14ac:dyDescent="0.3">
      <c r="D3439" s="4"/>
      <c r="K3439" s="9"/>
    </row>
    <row r="3440" spans="4:11" s="3" customFormat="1" x14ac:dyDescent="0.3">
      <c r="D3440" s="4"/>
      <c r="K3440" s="9"/>
    </row>
    <row r="3441" spans="4:11" s="3" customFormat="1" x14ac:dyDescent="0.3">
      <c r="D3441" s="4"/>
      <c r="K3441" s="9"/>
    </row>
    <row r="3442" spans="4:11" s="3" customFormat="1" x14ac:dyDescent="0.3">
      <c r="D3442" s="4"/>
      <c r="K3442" s="9"/>
    </row>
    <row r="3443" spans="4:11" s="3" customFormat="1" x14ac:dyDescent="0.3">
      <c r="D3443" s="4"/>
      <c r="K3443" s="9"/>
    </row>
    <row r="3444" spans="4:11" s="3" customFormat="1" x14ac:dyDescent="0.3">
      <c r="D3444" s="4"/>
      <c r="K3444" s="9"/>
    </row>
    <row r="3445" spans="4:11" s="3" customFormat="1" x14ac:dyDescent="0.3">
      <c r="D3445" s="4"/>
      <c r="K3445" s="9"/>
    </row>
    <row r="3446" spans="4:11" s="3" customFormat="1" x14ac:dyDescent="0.3">
      <c r="D3446" s="4"/>
      <c r="K3446" s="9"/>
    </row>
    <row r="3447" spans="4:11" s="3" customFormat="1" x14ac:dyDescent="0.3">
      <c r="D3447" s="4"/>
      <c r="K3447" s="9"/>
    </row>
    <row r="3448" spans="4:11" s="3" customFormat="1" x14ac:dyDescent="0.3">
      <c r="D3448" s="4"/>
      <c r="K3448" s="9"/>
    </row>
    <row r="3449" spans="4:11" s="3" customFormat="1" x14ac:dyDescent="0.3">
      <c r="D3449" s="4"/>
      <c r="K3449" s="9"/>
    </row>
    <row r="3450" spans="4:11" s="3" customFormat="1" x14ac:dyDescent="0.3">
      <c r="D3450" s="4"/>
      <c r="K3450" s="9"/>
    </row>
    <row r="3451" spans="4:11" s="3" customFormat="1" x14ac:dyDescent="0.3">
      <c r="D3451" s="4"/>
      <c r="K3451" s="9"/>
    </row>
    <row r="3452" spans="4:11" s="3" customFormat="1" x14ac:dyDescent="0.3">
      <c r="D3452" s="4"/>
      <c r="K3452" s="9"/>
    </row>
    <row r="3453" spans="4:11" s="3" customFormat="1" x14ac:dyDescent="0.3">
      <c r="D3453" s="4"/>
      <c r="K3453" s="9"/>
    </row>
    <row r="3454" spans="4:11" s="3" customFormat="1" x14ac:dyDescent="0.3">
      <c r="D3454" s="4"/>
      <c r="K3454" s="9"/>
    </row>
    <row r="3455" spans="4:11" s="3" customFormat="1" x14ac:dyDescent="0.3">
      <c r="D3455" s="4"/>
      <c r="K3455" s="9"/>
    </row>
    <row r="3456" spans="4:11" s="3" customFormat="1" x14ac:dyDescent="0.3">
      <c r="D3456" s="4"/>
      <c r="K3456" s="9"/>
    </row>
    <row r="3457" spans="4:11" s="3" customFormat="1" x14ac:dyDescent="0.3">
      <c r="D3457" s="4"/>
      <c r="K3457" s="9"/>
    </row>
    <row r="3458" spans="4:11" s="3" customFormat="1" x14ac:dyDescent="0.3">
      <c r="D3458" s="4"/>
      <c r="K3458" s="9"/>
    </row>
    <row r="3459" spans="4:11" s="3" customFormat="1" x14ac:dyDescent="0.3">
      <c r="D3459" s="4"/>
      <c r="K3459" s="9"/>
    </row>
    <row r="3460" spans="4:11" s="3" customFormat="1" x14ac:dyDescent="0.3">
      <c r="D3460" s="4"/>
      <c r="K3460" s="9"/>
    </row>
    <row r="3461" spans="4:11" s="3" customFormat="1" x14ac:dyDescent="0.3">
      <c r="D3461" s="4"/>
      <c r="K3461" s="9"/>
    </row>
    <row r="3462" spans="4:11" s="3" customFormat="1" x14ac:dyDescent="0.3">
      <c r="D3462" s="4"/>
      <c r="K3462" s="9"/>
    </row>
    <row r="3463" spans="4:11" s="3" customFormat="1" x14ac:dyDescent="0.3">
      <c r="D3463" s="4"/>
      <c r="K3463" s="9"/>
    </row>
    <row r="3464" spans="4:11" s="3" customFormat="1" x14ac:dyDescent="0.3">
      <c r="D3464" s="4"/>
      <c r="K3464" s="9"/>
    </row>
    <row r="3465" spans="4:11" s="3" customFormat="1" x14ac:dyDescent="0.3">
      <c r="D3465" s="4"/>
      <c r="K3465" s="9"/>
    </row>
    <row r="3466" spans="4:11" s="3" customFormat="1" x14ac:dyDescent="0.3">
      <c r="D3466" s="4"/>
      <c r="K3466" s="9"/>
    </row>
    <row r="3467" spans="4:11" s="3" customFormat="1" x14ac:dyDescent="0.3">
      <c r="D3467" s="4"/>
      <c r="K3467" s="9"/>
    </row>
    <row r="3468" spans="4:11" s="3" customFormat="1" x14ac:dyDescent="0.3">
      <c r="D3468" s="4"/>
      <c r="K3468" s="9"/>
    </row>
    <row r="3469" spans="4:11" s="3" customFormat="1" x14ac:dyDescent="0.3">
      <c r="D3469" s="4"/>
      <c r="K3469" s="9"/>
    </row>
    <row r="3470" spans="4:11" s="3" customFormat="1" x14ac:dyDescent="0.3">
      <c r="D3470" s="4"/>
      <c r="K3470" s="9"/>
    </row>
    <row r="3471" spans="4:11" s="3" customFormat="1" x14ac:dyDescent="0.3">
      <c r="D3471" s="4"/>
      <c r="K3471" s="9"/>
    </row>
    <row r="3472" spans="4:11" s="3" customFormat="1" x14ac:dyDescent="0.3">
      <c r="D3472" s="4"/>
      <c r="K3472" s="9"/>
    </row>
    <row r="3473" spans="4:11" s="3" customFormat="1" x14ac:dyDescent="0.3">
      <c r="D3473" s="4"/>
      <c r="K3473" s="9"/>
    </row>
    <row r="3474" spans="4:11" s="3" customFormat="1" x14ac:dyDescent="0.3">
      <c r="D3474" s="4"/>
      <c r="K3474" s="9"/>
    </row>
    <row r="3475" spans="4:11" s="3" customFormat="1" x14ac:dyDescent="0.3">
      <c r="D3475" s="4"/>
      <c r="K3475" s="9"/>
    </row>
    <row r="3476" spans="4:11" s="3" customFormat="1" x14ac:dyDescent="0.3">
      <c r="D3476" s="4"/>
      <c r="K3476" s="9"/>
    </row>
    <row r="3477" spans="4:11" s="3" customFormat="1" x14ac:dyDescent="0.3">
      <c r="D3477" s="4"/>
      <c r="K3477" s="9"/>
    </row>
    <row r="3478" spans="4:11" s="3" customFormat="1" x14ac:dyDescent="0.3">
      <c r="D3478" s="4"/>
      <c r="K3478" s="9"/>
    </row>
    <row r="3479" spans="4:11" s="3" customFormat="1" x14ac:dyDescent="0.3">
      <c r="D3479" s="4"/>
      <c r="K3479" s="9"/>
    </row>
    <row r="3480" spans="4:11" s="3" customFormat="1" x14ac:dyDescent="0.3">
      <c r="D3480" s="4"/>
      <c r="K3480" s="9"/>
    </row>
    <row r="3481" spans="4:11" s="3" customFormat="1" x14ac:dyDescent="0.3">
      <c r="D3481" s="4"/>
      <c r="K3481" s="9"/>
    </row>
    <row r="3482" spans="4:11" s="3" customFormat="1" x14ac:dyDescent="0.3">
      <c r="D3482" s="4"/>
      <c r="K3482" s="9"/>
    </row>
    <row r="3483" spans="4:11" s="3" customFormat="1" x14ac:dyDescent="0.3">
      <c r="D3483" s="4"/>
      <c r="K3483" s="9"/>
    </row>
    <row r="3484" spans="4:11" s="3" customFormat="1" x14ac:dyDescent="0.3">
      <c r="D3484" s="4"/>
      <c r="K3484" s="9"/>
    </row>
    <row r="3485" spans="4:11" s="3" customFormat="1" x14ac:dyDescent="0.3">
      <c r="D3485" s="4"/>
      <c r="K3485" s="9"/>
    </row>
    <row r="3486" spans="4:11" s="3" customFormat="1" x14ac:dyDescent="0.3">
      <c r="D3486" s="4"/>
      <c r="K3486" s="9"/>
    </row>
    <row r="3487" spans="4:11" s="3" customFormat="1" x14ac:dyDescent="0.3">
      <c r="D3487" s="4"/>
      <c r="K3487" s="9"/>
    </row>
    <row r="3488" spans="4:11" s="3" customFormat="1" x14ac:dyDescent="0.3">
      <c r="D3488" s="4"/>
      <c r="K3488" s="9"/>
    </row>
    <row r="3489" spans="4:11" s="3" customFormat="1" x14ac:dyDescent="0.3">
      <c r="D3489" s="4"/>
      <c r="K3489" s="9"/>
    </row>
    <row r="3490" spans="4:11" s="3" customFormat="1" x14ac:dyDescent="0.3">
      <c r="D3490" s="4"/>
      <c r="K3490" s="9"/>
    </row>
    <row r="3491" spans="4:11" s="3" customFormat="1" x14ac:dyDescent="0.3">
      <c r="D3491" s="4"/>
      <c r="K3491" s="9"/>
    </row>
    <row r="3492" spans="4:11" s="3" customFormat="1" x14ac:dyDescent="0.3">
      <c r="D3492" s="4"/>
      <c r="K3492" s="9"/>
    </row>
    <row r="3493" spans="4:11" s="3" customFormat="1" x14ac:dyDescent="0.3">
      <c r="D3493" s="4"/>
      <c r="K3493" s="9"/>
    </row>
    <row r="3494" spans="4:11" s="3" customFormat="1" x14ac:dyDescent="0.3">
      <c r="D3494" s="4"/>
      <c r="K3494" s="9"/>
    </row>
    <row r="3495" spans="4:11" s="3" customFormat="1" x14ac:dyDescent="0.3">
      <c r="D3495" s="4"/>
      <c r="K3495" s="9"/>
    </row>
    <row r="3496" spans="4:11" s="3" customFormat="1" x14ac:dyDescent="0.3">
      <c r="D3496" s="4"/>
      <c r="K3496" s="9"/>
    </row>
    <row r="3497" spans="4:11" s="3" customFormat="1" x14ac:dyDescent="0.3">
      <c r="D3497" s="4"/>
      <c r="K3497" s="9"/>
    </row>
    <row r="3498" spans="4:11" s="3" customFormat="1" x14ac:dyDescent="0.3">
      <c r="D3498" s="4"/>
      <c r="K3498" s="9"/>
    </row>
    <row r="3499" spans="4:11" s="3" customFormat="1" x14ac:dyDescent="0.3">
      <c r="D3499" s="4"/>
      <c r="K3499" s="9"/>
    </row>
    <row r="3500" spans="4:11" s="3" customFormat="1" x14ac:dyDescent="0.3">
      <c r="D3500" s="4"/>
      <c r="K3500" s="9"/>
    </row>
    <row r="3501" spans="4:11" s="3" customFormat="1" x14ac:dyDescent="0.3">
      <c r="D3501" s="4"/>
      <c r="K3501" s="9"/>
    </row>
    <row r="3502" spans="4:11" s="3" customFormat="1" x14ac:dyDescent="0.3">
      <c r="D3502" s="4"/>
      <c r="K3502" s="9"/>
    </row>
    <row r="3503" spans="4:11" s="3" customFormat="1" x14ac:dyDescent="0.3">
      <c r="D3503" s="4"/>
      <c r="K3503" s="9"/>
    </row>
    <row r="3504" spans="4:11" s="3" customFormat="1" x14ac:dyDescent="0.3">
      <c r="D3504" s="4"/>
      <c r="K3504" s="9"/>
    </row>
    <row r="3505" spans="4:11" s="3" customFormat="1" x14ac:dyDescent="0.3">
      <c r="D3505" s="4"/>
      <c r="K3505" s="9"/>
    </row>
    <row r="3506" spans="4:11" s="3" customFormat="1" x14ac:dyDescent="0.3">
      <c r="D3506" s="4"/>
      <c r="K3506" s="9"/>
    </row>
    <row r="3507" spans="4:11" s="3" customFormat="1" x14ac:dyDescent="0.3">
      <c r="D3507" s="4"/>
      <c r="K3507" s="9"/>
    </row>
    <row r="3508" spans="4:11" s="3" customFormat="1" x14ac:dyDescent="0.3">
      <c r="D3508" s="4"/>
      <c r="K3508" s="9"/>
    </row>
    <row r="3509" spans="4:11" s="3" customFormat="1" x14ac:dyDescent="0.3">
      <c r="D3509" s="4"/>
      <c r="K3509" s="9"/>
    </row>
    <row r="3510" spans="4:11" s="3" customFormat="1" x14ac:dyDescent="0.3">
      <c r="D3510" s="4"/>
      <c r="K3510" s="9"/>
    </row>
    <row r="3511" spans="4:11" s="3" customFormat="1" x14ac:dyDescent="0.3">
      <c r="D3511" s="4"/>
      <c r="K3511" s="9"/>
    </row>
    <row r="3512" spans="4:11" s="3" customFormat="1" x14ac:dyDescent="0.3">
      <c r="D3512" s="4"/>
      <c r="K3512" s="9"/>
    </row>
    <row r="3513" spans="4:11" s="3" customFormat="1" x14ac:dyDescent="0.3">
      <c r="D3513" s="4"/>
      <c r="K3513" s="9"/>
    </row>
    <row r="3514" spans="4:11" s="3" customFormat="1" x14ac:dyDescent="0.3">
      <c r="D3514" s="4"/>
      <c r="K3514" s="9"/>
    </row>
    <row r="3515" spans="4:11" s="3" customFormat="1" x14ac:dyDescent="0.3">
      <c r="D3515" s="4"/>
      <c r="K3515" s="9"/>
    </row>
    <row r="3516" spans="4:11" s="3" customFormat="1" x14ac:dyDescent="0.3">
      <c r="D3516" s="4"/>
      <c r="K3516" s="9"/>
    </row>
    <row r="3517" spans="4:11" s="3" customFormat="1" x14ac:dyDescent="0.3">
      <c r="D3517" s="4"/>
      <c r="K3517" s="9"/>
    </row>
    <row r="3518" spans="4:11" s="3" customFormat="1" x14ac:dyDescent="0.3">
      <c r="D3518" s="4"/>
      <c r="K3518" s="9"/>
    </row>
    <row r="3519" spans="4:11" s="3" customFormat="1" x14ac:dyDescent="0.3">
      <c r="D3519" s="4"/>
      <c r="K3519" s="9"/>
    </row>
    <row r="3520" spans="4:11" s="3" customFormat="1" x14ac:dyDescent="0.3">
      <c r="D3520" s="4"/>
      <c r="K3520" s="9"/>
    </row>
    <row r="3521" spans="4:11" s="3" customFormat="1" x14ac:dyDescent="0.3">
      <c r="D3521" s="4"/>
      <c r="K3521" s="9"/>
    </row>
    <row r="3522" spans="4:11" s="3" customFormat="1" x14ac:dyDescent="0.3">
      <c r="D3522" s="4"/>
      <c r="K3522" s="9"/>
    </row>
    <row r="3523" spans="4:11" s="3" customFormat="1" x14ac:dyDescent="0.3">
      <c r="D3523" s="4"/>
      <c r="K3523" s="9"/>
    </row>
    <row r="3524" spans="4:11" s="3" customFormat="1" x14ac:dyDescent="0.3">
      <c r="D3524" s="4"/>
      <c r="K3524" s="9"/>
    </row>
    <row r="3525" spans="4:11" s="3" customFormat="1" x14ac:dyDescent="0.3">
      <c r="D3525" s="4"/>
      <c r="K3525" s="9"/>
    </row>
    <row r="3526" spans="4:11" s="3" customFormat="1" x14ac:dyDescent="0.3">
      <c r="D3526" s="4"/>
      <c r="K3526" s="9"/>
    </row>
    <row r="3527" spans="4:11" s="3" customFormat="1" x14ac:dyDescent="0.3">
      <c r="D3527" s="4"/>
      <c r="K3527" s="9"/>
    </row>
    <row r="3528" spans="4:11" s="3" customFormat="1" x14ac:dyDescent="0.3">
      <c r="D3528" s="4"/>
      <c r="K3528" s="9"/>
    </row>
    <row r="3529" spans="4:11" s="3" customFormat="1" x14ac:dyDescent="0.3">
      <c r="D3529" s="4"/>
      <c r="K3529" s="9"/>
    </row>
    <row r="3530" spans="4:11" s="3" customFormat="1" x14ac:dyDescent="0.3">
      <c r="D3530" s="4"/>
      <c r="K3530" s="9"/>
    </row>
    <row r="3531" spans="4:11" s="3" customFormat="1" x14ac:dyDescent="0.3">
      <c r="D3531" s="4"/>
      <c r="K3531" s="9"/>
    </row>
    <row r="3532" spans="4:11" s="3" customFormat="1" x14ac:dyDescent="0.3">
      <c r="D3532" s="4"/>
      <c r="K3532" s="9"/>
    </row>
    <row r="3533" spans="4:11" s="3" customFormat="1" x14ac:dyDescent="0.3">
      <c r="D3533" s="4"/>
      <c r="K3533" s="9"/>
    </row>
    <row r="3534" spans="4:11" s="3" customFormat="1" x14ac:dyDescent="0.3">
      <c r="D3534" s="4"/>
      <c r="K3534" s="9"/>
    </row>
    <row r="3535" spans="4:11" s="3" customFormat="1" x14ac:dyDescent="0.3">
      <c r="D3535" s="4"/>
      <c r="K3535" s="9"/>
    </row>
    <row r="3536" spans="4:11" s="3" customFormat="1" x14ac:dyDescent="0.3">
      <c r="D3536" s="4"/>
      <c r="K3536" s="9"/>
    </row>
    <row r="3537" spans="4:11" s="3" customFormat="1" x14ac:dyDescent="0.3">
      <c r="D3537" s="4"/>
      <c r="K3537" s="9"/>
    </row>
    <row r="3538" spans="4:11" s="3" customFormat="1" x14ac:dyDescent="0.3">
      <c r="D3538" s="4"/>
      <c r="K3538" s="9"/>
    </row>
    <row r="3539" spans="4:11" s="3" customFormat="1" x14ac:dyDescent="0.3">
      <c r="D3539" s="4"/>
      <c r="K3539" s="9"/>
    </row>
    <row r="3540" spans="4:11" s="3" customFormat="1" x14ac:dyDescent="0.3">
      <c r="D3540" s="4"/>
      <c r="K3540" s="9"/>
    </row>
    <row r="3541" spans="4:11" s="3" customFormat="1" x14ac:dyDescent="0.3">
      <c r="D3541" s="4"/>
      <c r="K3541" s="9"/>
    </row>
    <row r="3542" spans="4:11" s="3" customFormat="1" x14ac:dyDescent="0.3">
      <c r="D3542" s="4"/>
      <c r="K3542" s="9"/>
    </row>
    <row r="3543" spans="4:11" s="3" customFormat="1" x14ac:dyDescent="0.3">
      <c r="D3543" s="4"/>
      <c r="K3543" s="9"/>
    </row>
    <row r="3544" spans="4:11" s="3" customFormat="1" x14ac:dyDescent="0.3">
      <c r="D3544" s="4"/>
      <c r="K3544" s="9"/>
    </row>
    <row r="3545" spans="4:11" s="3" customFormat="1" x14ac:dyDescent="0.3">
      <c r="D3545" s="4"/>
      <c r="K3545" s="9"/>
    </row>
    <row r="3546" spans="4:11" s="3" customFormat="1" x14ac:dyDescent="0.3">
      <c r="D3546" s="4"/>
      <c r="K3546" s="9"/>
    </row>
    <row r="3547" spans="4:11" s="3" customFormat="1" x14ac:dyDescent="0.3">
      <c r="D3547" s="4"/>
      <c r="K3547" s="9"/>
    </row>
    <row r="3548" spans="4:11" s="3" customFormat="1" x14ac:dyDescent="0.3">
      <c r="D3548" s="4"/>
      <c r="K3548" s="9"/>
    </row>
    <row r="3549" spans="4:11" s="3" customFormat="1" x14ac:dyDescent="0.3">
      <c r="D3549" s="4"/>
      <c r="K3549" s="9"/>
    </row>
    <row r="3550" spans="4:11" s="3" customFormat="1" x14ac:dyDescent="0.3">
      <c r="D3550" s="4"/>
      <c r="K3550" s="9"/>
    </row>
    <row r="3551" spans="4:11" s="3" customFormat="1" x14ac:dyDescent="0.3">
      <c r="D3551" s="4"/>
      <c r="K3551" s="9"/>
    </row>
    <row r="3552" spans="4:11" s="3" customFormat="1" x14ac:dyDescent="0.3">
      <c r="D3552" s="4"/>
      <c r="K3552" s="9"/>
    </row>
    <row r="3553" spans="4:11" s="3" customFormat="1" x14ac:dyDescent="0.3">
      <c r="D3553" s="4"/>
      <c r="K3553" s="9"/>
    </row>
    <row r="3554" spans="4:11" s="3" customFormat="1" x14ac:dyDescent="0.3">
      <c r="D3554" s="4"/>
      <c r="K3554" s="9"/>
    </row>
    <row r="3555" spans="4:11" s="3" customFormat="1" x14ac:dyDescent="0.3">
      <c r="D3555" s="4"/>
      <c r="K3555" s="9"/>
    </row>
    <row r="3556" spans="4:11" s="3" customFormat="1" x14ac:dyDescent="0.3">
      <c r="D3556" s="4"/>
      <c r="K3556" s="9"/>
    </row>
    <row r="3557" spans="4:11" s="3" customFormat="1" x14ac:dyDescent="0.3">
      <c r="D3557" s="4"/>
      <c r="K3557" s="9"/>
    </row>
    <row r="3558" spans="4:11" s="3" customFormat="1" x14ac:dyDescent="0.3">
      <c r="D3558" s="4"/>
      <c r="K3558" s="9"/>
    </row>
    <row r="3559" spans="4:11" s="3" customFormat="1" x14ac:dyDescent="0.3">
      <c r="D3559" s="4"/>
      <c r="K3559" s="9"/>
    </row>
    <row r="3560" spans="4:11" s="3" customFormat="1" x14ac:dyDescent="0.3">
      <c r="D3560" s="4"/>
      <c r="K3560" s="9"/>
    </row>
    <row r="3561" spans="4:11" s="3" customFormat="1" x14ac:dyDescent="0.3">
      <c r="D3561" s="4"/>
      <c r="K3561" s="9"/>
    </row>
    <row r="3562" spans="4:11" s="3" customFormat="1" x14ac:dyDescent="0.3">
      <c r="D3562" s="4"/>
      <c r="K3562" s="9"/>
    </row>
    <row r="3563" spans="4:11" s="3" customFormat="1" x14ac:dyDescent="0.3">
      <c r="D3563" s="4"/>
      <c r="K3563" s="9"/>
    </row>
    <row r="3564" spans="4:11" s="3" customFormat="1" x14ac:dyDescent="0.3">
      <c r="D3564" s="4"/>
      <c r="K3564" s="9"/>
    </row>
    <row r="3565" spans="4:11" s="3" customFormat="1" x14ac:dyDescent="0.3">
      <c r="D3565" s="4"/>
      <c r="K3565" s="9"/>
    </row>
    <row r="3566" spans="4:11" s="3" customFormat="1" x14ac:dyDescent="0.3">
      <c r="D3566" s="4"/>
      <c r="K3566" s="9"/>
    </row>
    <row r="3567" spans="4:11" s="3" customFormat="1" x14ac:dyDescent="0.3">
      <c r="D3567" s="4"/>
      <c r="K3567" s="9"/>
    </row>
    <row r="3568" spans="4:11" s="3" customFormat="1" x14ac:dyDescent="0.3">
      <c r="D3568" s="4"/>
      <c r="K3568" s="9"/>
    </row>
    <row r="3569" spans="4:11" s="3" customFormat="1" x14ac:dyDescent="0.3">
      <c r="D3569" s="4"/>
      <c r="K3569" s="9"/>
    </row>
    <row r="3570" spans="4:11" s="3" customFormat="1" x14ac:dyDescent="0.3">
      <c r="D3570" s="4"/>
      <c r="K3570" s="9"/>
    </row>
    <row r="3571" spans="4:11" s="3" customFormat="1" x14ac:dyDescent="0.3">
      <c r="D3571" s="4"/>
      <c r="K3571" s="9"/>
    </row>
    <row r="3572" spans="4:11" s="3" customFormat="1" x14ac:dyDescent="0.3">
      <c r="D3572" s="4"/>
      <c r="K3572" s="9"/>
    </row>
    <row r="3573" spans="4:11" s="3" customFormat="1" x14ac:dyDescent="0.3">
      <c r="D3573" s="4"/>
      <c r="K3573" s="9"/>
    </row>
    <row r="3574" spans="4:11" s="3" customFormat="1" x14ac:dyDescent="0.3">
      <c r="D3574" s="4"/>
      <c r="K3574" s="9"/>
    </row>
    <row r="3575" spans="4:11" s="3" customFormat="1" x14ac:dyDescent="0.3">
      <c r="D3575" s="4"/>
      <c r="K3575" s="9"/>
    </row>
    <row r="3576" spans="4:11" s="3" customFormat="1" x14ac:dyDescent="0.3">
      <c r="D3576" s="4"/>
      <c r="K3576" s="9"/>
    </row>
    <row r="3577" spans="4:11" s="3" customFormat="1" x14ac:dyDescent="0.3">
      <c r="D3577" s="4"/>
      <c r="K3577" s="9"/>
    </row>
    <row r="3578" spans="4:11" s="3" customFormat="1" x14ac:dyDescent="0.3">
      <c r="D3578" s="4"/>
      <c r="K3578" s="9"/>
    </row>
    <row r="3579" spans="4:11" s="3" customFormat="1" x14ac:dyDescent="0.3">
      <c r="D3579" s="4"/>
      <c r="K3579" s="9"/>
    </row>
    <row r="3580" spans="4:11" s="3" customFormat="1" x14ac:dyDescent="0.3">
      <c r="D3580" s="4"/>
      <c r="K3580" s="9"/>
    </row>
    <row r="3581" spans="4:11" s="3" customFormat="1" x14ac:dyDescent="0.3">
      <c r="D3581" s="4"/>
      <c r="K3581" s="9"/>
    </row>
    <row r="3582" spans="4:11" s="3" customFormat="1" x14ac:dyDescent="0.3">
      <c r="D3582" s="4"/>
      <c r="K3582" s="9"/>
    </row>
    <row r="3583" spans="4:11" s="3" customFormat="1" x14ac:dyDescent="0.3">
      <c r="D3583" s="4"/>
      <c r="K3583" s="9"/>
    </row>
    <row r="3584" spans="4:11" s="3" customFormat="1" x14ac:dyDescent="0.3">
      <c r="D3584" s="4"/>
      <c r="K3584" s="9"/>
    </row>
    <row r="3585" spans="4:11" s="3" customFormat="1" x14ac:dyDescent="0.3">
      <c r="D3585" s="4"/>
      <c r="K3585" s="9"/>
    </row>
    <row r="3586" spans="4:11" s="3" customFormat="1" x14ac:dyDescent="0.3">
      <c r="D3586" s="4"/>
      <c r="K3586" s="9"/>
    </row>
    <row r="3587" spans="4:11" s="3" customFormat="1" x14ac:dyDescent="0.3">
      <c r="D3587" s="4"/>
      <c r="K3587" s="9"/>
    </row>
    <row r="3588" spans="4:11" s="3" customFormat="1" x14ac:dyDescent="0.3">
      <c r="D3588" s="4"/>
      <c r="K3588" s="9"/>
    </row>
    <row r="3589" spans="4:11" s="3" customFormat="1" x14ac:dyDescent="0.3">
      <c r="D3589" s="4"/>
      <c r="K3589" s="9"/>
    </row>
    <row r="3590" spans="4:11" s="3" customFormat="1" x14ac:dyDescent="0.3">
      <c r="D3590" s="4"/>
      <c r="K3590" s="9"/>
    </row>
    <row r="3591" spans="4:11" s="3" customFormat="1" x14ac:dyDescent="0.3">
      <c r="D3591" s="4"/>
      <c r="K3591" s="9"/>
    </row>
    <row r="3592" spans="4:11" s="3" customFormat="1" x14ac:dyDescent="0.3">
      <c r="D3592" s="4"/>
      <c r="K3592" s="9"/>
    </row>
    <row r="3593" spans="4:11" s="3" customFormat="1" x14ac:dyDescent="0.3">
      <c r="D3593" s="4"/>
      <c r="K3593" s="9"/>
    </row>
    <row r="3594" spans="4:11" s="3" customFormat="1" x14ac:dyDescent="0.3">
      <c r="D3594" s="4"/>
      <c r="K3594" s="9"/>
    </row>
    <row r="3595" spans="4:11" s="3" customFormat="1" x14ac:dyDescent="0.3">
      <c r="D3595" s="4"/>
      <c r="K3595" s="9"/>
    </row>
    <row r="3596" spans="4:11" s="3" customFormat="1" x14ac:dyDescent="0.3">
      <c r="D3596" s="4"/>
      <c r="K3596" s="9"/>
    </row>
    <row r="3597" spans="4:11" s="3" customFormat="1" x14ac:dyDescent="0.3">
      <c r="D3597" s="4"/>
      <c r="K3597" s="9"/>
    </row>
    <row r="3598" spans="4:11" s="3" customFormat="1" x14ac:dyDescent="0.3">
      <c r="D3598" s="4"/>
      <c r="K3598" s="9"/>
    </row>
    <row r="3599" spans="4:11" s="3" customFormat="1" x14ac:dyDescent="0.3">
      <c r="D3599" s="4"/>
      <c r="K3599" s="9"/>
    </row>
    <row r="3600" spans="4:11" s="3" customFormat="1" x14ac:dyDescent="0.3">
      <c r="D3600" s="4"/>
      <c r="K3600" s="9"/>
    </row>
    <row r="3601" spans="4:11" s="3" customFormat="1" x14ac:dyDescent="0.3">
      <c r="D3601" s="4"/>
      <c r="K3601" s="9"/>
    </row>
    <row r="3602" spans="4:11" s="3" customFormat="1" x14ac:dyDescent="0.3">
      <c r="D3602" s="4"/>
      <c r="K3602" s="9"/>
    </row>
    <row r="3603" spans="4:11" s="3" customFormat="1" x14ac:dyDescent="0.3">
      <c r="D3603" s="4"/>
      <c r="K3603" s="9"/>
    </row>
    <row r="3604" spans="4:11" s="3" customFormat="1" x14ac:dyDescent="0.3">
      <c r="D3604" s="4"/>
      <c r="K3604" s="9"/>
    </row>
    <row r="3605" spans="4:11" s="3" customFormat="1" x14ac:dyDescent="0.3">
      <c r="D3605" s="4"/>
      <c r="K3605" s="9"/>
    </row>
    <row r="3606" spans="4:11" s="3" customFormat="1" x14ac:dyDescent="0.3">
      <c r="D3606" s="4"/>
      <c r="K3606" s="9"/>
    </row>
    <row r="3607" spans="4:11" s="3" customFormat="1" x14ac:dyDescent="0.3">
      <c r="D3607" s="4"/>
      <c r="K3607" s="9"/>
    </row>
    <row r="3608" spans="4:11" s="3" customFormat="1" x14ac:dyDescent="0.3">
      <c r="D3608" s="4"/>
      <c r="K3608" s="9"/>
    </row>
    <row r="3609" spans="4:11" s="3" customFormat="1" x14ac:dyDescent="0.3">
      <c r="D3609" s="4"/>
      <c r="K3609" s="9"/>
    </row>
    <row r="3610" spans="4:11" s="3" customFormat="1" x14ac:dyDescent="0.3">
      <c r="D3610" s="4"/>
      <c r="K3610" s="9"/>
    </row>
    <row r="3611" spans="4:11" s="3" customFormat="1" x14ac:dyDescent="0.3">
      <c r="D3611" s="4"/>
      <c r="K3611" s="9"/>
    </row>
    <row r="3612" spans="4:11" s="3" customFormat="1" x14ac:dyDescent="0.3">
      <c r="D3612" s="4"/>
      <c r="K3612" s="9"/>
    </row>
    <row r="3613" spans="4:11" s="3" customFormat="1" x14ac:dyDescent="0.3">
      <c r="D3613" s="4"/>
      <c r="K3613" s="9"/>
    </row>
    <row r="3614" spans="4:11" s="3" customFormat="1" x14ac:dyDescent="0.3">
      <c r="D3614" s="4"/>
      <c r="K3614" s="9"/>
    </row>
    <row r="3615" spans="4:11" s="3" customFormat="1" x14ac:dyDescent="0.3">
      <c r="D3615" s="4"/>
      <c r="K3615" s="9"/>
    </row>
    <row r="3616" spans="4:11" s="3" customFormat="1" x14ac:dyDescent="0.3">
      <c r="D3616" s="4"/>
      <c r="K3616" s="9"/>
    </row>
    <row r="3617" spans="4:11" s="3" customFormat="1" x14ac:dyDescent="0.3">
      <c r="D3617" s="4"/>
      <c r="K3617" s="9"/>
    </row>
    <row r="3618" spans="4:11" s="3" customFormat="1" x14ac:dyDescent="0.3">
      <c r="D3618" s="4"/>
      <c r="K3618" s="9"/>
    </row>
    <row r="3619" spans="4:11" s="3" customFormat="1" x14ac:dyDescent="0.3">
      <c r="D3619" s="4"/>
      <c r="K3619" s="9"/>
    </row>
    <row r="3620" spans="4:11" s="3" customFormat="1" x14ac:dyDescent="0.3">
      <c r="D3620" s="4"/>
      <c r="K3620" s="9"/>
    </row>
    <row r="3621" spans="4:11" s="3" customFormat="1" x14ac:dyDescent="0.3">
      <c r="D3621" s="4"/>
      <c r="K3621" s="9"/>
    </row>
    <row r="3622" spans="4:11" s="3" customFormat="1" x14ac:dyDescent="0.3">
      <c r="D3622" s="4"/>
      <c r="K3622" s="9"/>
    </row>
    <row r="3623" spans="4:11" s="3" customFormat="1" x14ac:dyDescent="0.3">
      <c r="D3623" s="4"/>
      <c r="K3623" s="9"/>
    </row>
    <row r="3624" spans="4:11" s="3" customFormat="1" x14ac:dyDescent="0.3">
      <c r="D3624" s="4"/>
      <c r="K3624" s="9"/>
    </row>
    <row r="3625" spans="4:11" s="3" customFormat="1" x14ac:dyDescent="0.3">
      <c r="D3625" s="4"/>
      <c r="K3625" s="9"/>
    </row>
    <row r="3626" spans="4:11" s="3" customFormat="1" x14ac:dyDescent="0.3">
      <c r="D3626" s="4"/>
      <c r="K3626" s="9"/>
    </row>
    <row r="3627" spans="4:11" s="3" customFormat="1" x14ac:dyDescent="0.3">
      <c r="D3627" s="4"/>
      <c r="K3627" s="9"/>
    </row>
    <row r="3628" spans="4:11" s="3" customFormat="1" x14ac:dyDescent="0.3">
      <c r="D3628" s="4"/>
      <c r="K3628" s="9"/>
    </row>
    <row r="3629" spans="4:11" s="3" customFormat="1" x14ac:dyDescent="0.3">
      <c r="D3629" s="4"/>
      <c r="K3629" s="9"/>
    </row>
    <row r="3630" spans="4:11" s="3" customFormat="1" x14ac:dyDescent="0.3">
      <c r="D3630" s="4"/>
      <c r="K3630" s="9"/>
    </row>
    <row r="3631" spans="4:11" s="3" customFormat="1" x14ac:dyDescent="0.3">
      <c r="D3631" s="4"/>
      <c r="K3631" s="9"/>
    </row>
    <row r="3632" spans="4:11" s="3" customFormat="1" x14ac:dyDescent="0.3">
      <c r="D3632" s="4"/>
      <c r="K3632" s="9"/>
    </row>
    <row r="3633" spans="4:11" s="3" customFormat="1" x14ac:dyDescent="0.3">
      <c r="D3633" s="4"/>
      <c r="K3633" s="9"/>
    </row>
    <row r="3634" spans="4:11" s="3" customFormat="1" x14ac:dyDescent="0.3">
      <c r="D3634" s="4"/>
      <c r="K3634" s="9"/>
    </row>
    <row r="3635" spans="4:11" s="3" customFormat="1" x14ac:dyDescent="0.3">
      <c r="D3635" s="4"/>
      <c r="K3635" s="9"/>
    </row>
    <row r="3636" spans="4:11" s="3" customFormat="1" x14ac:dyDescent="0.3">
      <c r="D3636" s="4"/>
      <c r="K3636" s="9"/>
    </row>
    <row r="3637" spans="4:11" s="3" customFormat="1" x14ac:dyDescent="0.3">
      <c r="D3637" s="4"/>
      <c r="K3637" s="9"/>
    </row>
    <row r="3638" spans="4:11" s="3" customFormat="1" x14ac:dyDescent="0.3">
      <c r="D3638" s="4"/>
      <c r="K3638" s="9"/>
    </row>
    <row r="3639" spans="4:11" s="3" customFormat="1" x14ac:dyDescent="0.3">
      <c r="D3639" s="4"/>
      <c r="K3639" s="9"/>
    </row>
    <row r="3640" spans="4:11" s="3" customFormat="1" x14ac:dyDescent="0.3">
      <c r="D3640" s="4"/>
      <c r="K3640" s="9"/>
    </row>
    <row r="3641" spans="4:11" s="3" customFormat="1" x14ac:dyDescent="0.3">
      <c r="D3641" s="4"/>
      <c r="K3641" s="9"/>
    </row>
    <row r="3642" spans="4:11" s="3" customFormat="1" x14ac:dyDescent="0.3">
      <c r="D3642" s="4"/>
      <c r="K3642" s="9"/>
    </row>
    <row r="3643" spans="4:11" s="3" customFormat="1" x14ac:dyDescent="0.3">
      <c r="D3643" s="4"/>
      <c r="K3643" s="9"/>
    </row>
    <row r="3644" spans="4:11" s="3" customFormat="1" x14ac:dyDescent="0.3">
      <c r="D3644" s="4"/>
      <c r="K3644" s="9"/>
    </row>
    <row r="3645" spans="4:11" s="3" customFormat="1" x14ac:dyDescent="0.3">
      <c r="D3645" s="4"/>
      <c r="K3645" s="9"/>
    </row>
    <row r="3646" spans="4:11" s="3" customFormat="1" x14ac:dyDescent="0.3">
      <c r="D3646" s="4"/>
      <c r="K3646" s="9"/>
    </row>
    <row r="3647" spans="4:11" s="3" customFormat="1" x14ac:dyDescent="0.3">
      <c r="D3647" s="4"/>
      <c r="K3647" s="9"/>
    </row>
    <row r="3648" spans="4:11" s="3" customFormat="1" x14ac:dyDescent="0.3">
      <c r="D3648" s="4"/>
      <c r="K3648" s="9"/>
    </row>
    <row r="3649" spans="4:11" s="3" customFormat="1" x14ac:dyDescent="0.3">
      <c r="D3649" s="4"/>
      <c r="K3649" s="9"/>
    </row>
    <row r="3650" spans="4:11" s="3" customFormat="1" x14ac:dyDescent="0.3">
      <c r="D3650" s="4"/>
      <c r="K3650" s="9"/>
    </row>
    <row r="3651" spans="4:11" s="3" customFormat="1" x14ac:dyDescent="0.3">
      <c r="D3651" s="4"/>
      <c r="K3651" s="9"/>
    </row>
    <row r="3652" spans="4:11" s="3" customFormat="1" x14ac:dyDescent="0.3">
      <c r="D3652" s="4"/>
      <c r="K3652" s="9"/>
    </row>
    <row r="3653" spans="4:11" s="3" customFormat="1" x14ac:dyDescent="0.3">
      <c r="D3653" s="4"/>
      <c r="K3653" s="9"/>
    </row>
    <row r="3654" spans="4:11" s="3" customFormat="1" x14ac:dyDescent="0.3">
      <c r="D3654" s="4"/>
      <c r="K3654" s="9"/>
    </row>
    <row r="3655" spans="4:11" s="3" customFormat="1" x14ac:dyDescent="0.3">
      <c r="D3655" s="4"/>
      <c r="K3655" s="9"/>
    </row>
    <row r="3656" spans="4:11" s="3" customFormat="1" x14ac:dyDescent="0.3">
      <c r="D3656" s="4"/>
      <c r="K3656" s="9"/>
    </row>
    <row r="3657" spans="4:11" s="3" customFormat="1" x14ac:dyDescent="0.3">
      <c r="D3657" s="4"/>
      <c r="K3657" s="9"/>
    </row>
    <row r="3658" spans="4:11" s="3" customFormat="1" x14ac:dyDescent="0.3">
      <c r="D3658" s="4"/>
      <c r="K3658" s="9"/>
    </row>
    <row r="3659" spans="4:11" s="3" customFormat="1" x14ac:dyDescent="0.3">
      <c r="D3659" s="4"/>
      <c r="K3659" s="9"/>
    </row>
    <row r="3660" spans="4:11" s="3" customFormat="1" x14ac:dyDescent="0.3">
      <c r="D3660" s="4"/>
      <c r="K3660" s="9"/>
    </row>
    <row r="3661" spans="4:11" s="3" customFormat="1" x14ac:dyDescent="0.3">
      <c r="D3661" s="4"/>
      <c r="K3661" s="9"/>
    </row>
    <row r="3662" spans="4:11" s="3" customFormat="1" x14ac:dyDescent="0.3">
      <c r="D3662" s="4"/>
      <c r="K3662" s="9"/>
    </row>
    <row r="3663" spans="4:11" s="3" customFormat="1" x14ac:dyDescent="0.3">
      <c r="D3663" s="4"/>
      <c r="K3663" s="9"/>
    </row>
    <row r="3664" spans="4:11" s="3" customFormat="1" x14ac:dyDescent="0.3">
      <c r="D3664" s="4"/>
      <c r="K3664" s="9"/>
    </row>
    <row r="3665" spans="4:11" s="3" customFormat="1" x14ac:dyDescent="0.3">
      <c r="D3665" s="4"/>
      <c r="K3665" s="9"/>
    </row>
    <row r="3666" spans="4:11" s="3" customFormat="1" x14ac:dyDescent="0.3">
      <c r="D3666" s="4"/>
      <c r="K3666" s="9"/>
    </row>
    <row r="3667" spans="4:11" s="3" customFormat="1" x14ac:dyDescent="0.3">
      <c r="D3667" s="4"/>
      <c r="K3667" s="9"/>
    </row>
    <row r="3668" spans="4:11" s="3" customFormat="1" x14ac:dyDescent="0.3">
      <c r="D3668" s="4"/>
      <c r="K3668" s="9"/>
    </row>
    <row r="3669" spans="4:11" s="3" customFormat="1" x14ac:dyDescent="0.3">
      <c r="D3669" s="4"/>
      <c r="K3669" s="9"/>
    </row>
    <row r="3670" spans="4:11" s="3" customFormat="1" x14ac:dyDescent="0.3">
      <c r="D3670" s="4"/>
      <c r="K3670" s="9"/>
    </row>
    <row r="3671" spans="4:11" s="3" customFormat="1" x14ac:dyDescent="0.3">
      <c r="D3671" s="4"/>
      <c r="K3671" s="9"/>
    </row>
    <row r="3672" spans="4:11" s="3" customFormat="1" x14ac:dyDescent="0.3">
      <c r="D3672" s="4"/>
      <c r="K3672" s="9"/>
    </row>
    <row r="3673" spans="4:11" s="3" customFormat="1" x14ac:dyDescent="0.3">
      <c r="D3673" s="4"/>
      <c r="K3673" s="9"/>
    </row>
    <row r="3674" spans="4:11" s="3" customFormat="1" x14ac:dyDescent="0.3">
      <c r="D3674" s="4"/>
      <c r="K3674" s="9"/>
    </row>
    <row r="3675" spans="4:11" s="3" customFormat="1" x14ac:dyDescent="0.3">
      <c r="D3675" s="4"/>
      <c r="K3675" s="9"/>
    </row>
    <row r="3676" spans="4:11" s="3" customFormat="1" x14ac:dyDescent="0.3">
      <c r="D3676" s="4"/>
      <c r="K3676" s="9"/>
    </row>
    <row r="3677" spans="4:11" s="3" customFormat="1" x14ac:dyDescent="0.3">
      <c r="D3677" s="4"/>
      <c r="K3677" s="9"/>
    </row>
    <row r="3678" spans="4:11" s="3" customFormat="1" x14ac:dyDescent="0.3">
      <c r="D3678" s="4"/>
      <c r="K3678" s="9"/>
    </row>
    <row r="3679" spans="4:11" s="3" customFormat="1" x14ac:dyDescent="0.3">
      <c r="D3679" s="4"/>
      <c r="K3679" s="9"/>
    </row>
    <row r="3680" spans="4:11" s="3" customFormat="1" x14ac:dyDescent="0.3">
      <c r="D3680" s="4"/>
      <c r="K3680" s="9"/>
    </row>
    <row r="3681" spans="4:11" s="3" customFormat="1" x14ac:dyDescent="0.3">
      <c r="D3681" s="4"/>
      <c r="K3681" s="9"/>
    </row>
    <row r="3682" spans="4:11" s="3" customFormat="1" x14ac:dyDescent="0.3">
      <c r="D3682" s="4"/>
      <c r="K3682" s="9"/>
    </row>
    <row r="3683" spans="4:11" s="3" customFormat="1" x14ac:dyDescent="0.3">
      <c r="D3683" s="4"/>
      <c r="K3683" s="9"/>
    </row>
    <row r="3684" spans="4:11" s="3" customFormat="1" x14ac:dyDescent="0.3">
      <c r="D3684" s="4"/>
      <c r="K3684" s="9"/>
    </row>
    <row r="3685" spans="4:11" s="3" customFormat="1" x14ac:dyDescent="0.3">
      <c r="D3685" s="4"/>
      <c r="K3685" s="9"/>
    </row>
    <row r="3686" spans="4:11" s="3" customFormat="1" x14ac:dyDescent="0.3">
      <c r="D3686" s="4"/>
      <c r="K3686" s="9"/>
    </row>
    <row r="3687" spans="4:11" s="3" customFormat="1" x14ac:dyDescent="0.3">
      <c r="D3687" s="4"/>
      <c r="K3687" s="9"/>
    </row>
    <row r="3688" spans="4:11" s="3" customFormat="1" x14ac:dyDescent="0.3">
      <c r="D3688" s="4"/>
      <c r="K3688" s="9"/>
    </row>
    <row r="3689" spans="4:11" s="3" customFormat="1" x14ac:dyDescent="0.3">
      <c r="D3689" s="4"/>
      <c r="K3689" s="9"/>
    </row>
    <row r="3690" spans="4:11" s="3" customFormat="1" x14ac:dyDescent="0.3">
      <c r="D3690" s="4"/>
      <c r="K3690" s="9"/>
    </row>
    <row r="3691" spans="4:11" s="3" customFormat="1" x14ac:dyDescent="0.3">
      <c r="D3691" s="4"/>
      <c r="K3691" s="9"/>
    </row>
    <row r="3692" spans="4:11" s="3" customFormat="1" x14ac:dyDescent="0.3">
      <c r="D3692" s="4"/>
      <c r="K3692" s="9"/>
    </row>
    <row r="3693" spans="4:11" s="3" customFormat="1" x14ac:dyDescent="0.3">
      <c r="D3693" s="4"/>
      <c r="K3693" s="9"/>
    </row>
    <row r="3694" spans="4:11" s="3" customFormat="1" x14ac:dyDescent="0.3">
      <c r="D3694" s="4"/>
      <c r="K3694" s="9"/>
    </row>
    <row r="3695" spans="4:11" s="3" customFormat="1" x14ac:dyDescent="0.3">
      <c r="D3695" s="4"/>
      <c r="K3695" s="9"/>
    </row>
    <row r="3696" spans="4:11" s="3" customFormat="1" x14ac:dyDescent="0.3">
      <c r="D3696" s="4"/>
      <c r="K3696" s="9"/>
    </row>
    <row r="3697" spans="4:11" s="3" customFormat="1" x14ac:dyDescent="0.3">
      <c r="D3697" s="4"/>
      <c r="K3697" s="9"/>
    </row>
    <row r="3698" spans="4:11" s="3" customFormat="1" x14ac:dyDescent="0.3">
      <c r="D3698" s="4"/>
      <c r="K3698" s="9"/>
    </row>
    <row r="3699" spans="4:11" s="3" customFormat="1" x14ac:dyDescent="0.3">
      <c r="D3699" s="4"/>
      <c r="K3699" s="9"/>
    </row>
    <row r="3700" spans="4:11" s="3" customFormat="1" x14ac:dyDescent="0.3">
      <c r="D3700" s="4"/>
      <c r="K3700" s="9"/>
    </row>
    <row r="3701" spans="4:11" s="3" customFormat="1" x14ac:dyDescent="0.3">
      <c r="D3701" s="4"/>
      <c r="K3701" s="9"/>
    </row>
    <row r="3702" spans="4:11" s="3" customFormat="1" x14ac:dyDescent="0.3">
      <c r="D3702" s="4"/>
      <c r="K3702" s="9"/>
    </row>
    <row r="3703" spans="4:11" s="3" customFormat="1" x14ac:dyDescent="0.3">
      <c r="D3703" s="4"/>
      <c r="K3703" s="9"/>
    </row>
    <row r="3704" spans="4:11" s="3" customFormat="1" x14ac:dyDescent="0.3">
      <c r="D3704" s="4"/>
      <c r="K3704" s="9"/>
    </row>
    <row r="3705" spans="4:11" s="3" customFormat="1" x14ac:dyDescent="0.3">
      <c r="D3705" s="4"/>
      <c r="K3705" s="9"/>
    </row>
    <row r="3706" spans="4:11" s="3" customFormat="1" x14ac:dyDescent="0.3">
      <c r="D3706" s="4"/>
      <c r="K3706" s="9"/>
    </row>
    <row r="3707" spans="4:11" s="3" customFormat="1" x14ac:dyDescent="0.3">
      <c r="D3707" s="4"/>
      <c r="K3707" s="9"/>
    </row>
    <row r="3708" spans="4:11" s="3" customFormat="1" x14ac:dyDescent="0.3">
      <c r="D3708" s="4"/>
      <c r="K3708" s="9"/>
    </row>
    <row r="3709" spans="4:11" s="3" customFormat="1" x14ac:dyDescent="0.3">
      <c r="D3709" s="4"/>
      <c r="K3709" s="9"/>
    </row>
    <row r="3710" spans="4:11" s="3" customFormat="1" x14ac:dyDescent="0.3">
      <c r="D3710" s="4"/>
      <c r="K3710" s="9"/>
    </row>
    <row r="3711" spans="4:11" s="3" customFormat="1" x14ac:dyDescent="0.3">
      <c r="D3711" s="4"/>
      <c r="K3711" s="9"/>
    </row>
    <row r="3712" spans="4:11" s="3" customFormat="1" x14ac:dyDescent="0.3">
      <c r="D3712" s="4"/>
      <c r="K3712" s="9"/>
    </row>
    <row r="3713" spans="4:11" s="3" customFormat="1" x14ac:dyDescent="0.3">
      <c r="D3713" s="4"/>
      <c r="K3713" s="9"/>
    </row>
    <row r="3714" spans="4:11" s="3" customFormat="1" x14ac:dyDescent="0.3">
      <c r="D3714" s="4"/>
      <c r="K3714" s="9"/>
    </row>
    <row r="3715" spans="4:11" s="3" customFormat="1" x14ac:dyDescent="0.3">
      <c r="D3715" s="4"/>
      <c r="K3715" s="9"/>
    </row>
    <row r="3716" spans="4:11" s="3" customFormat="1" x14ac:dyDescent="0.3">
      <c r="D3716" s="4"/>
      <c r="K3716" s="9"/>
    </row>
    <row r="3717" spans="4:11" s="3" customFormat="1" x14ac:dyDescent="0.3">
      <c r="D3717" s="4"/>
      <c r="K3717" s="9"/>
    </row>
    <row r="3718" spans="4:11" s="3" customFormat="1" x14ac:dyDescent="0.3">
      <c r="D3718" s="4"/>
      <c r="K3718" s="9"/>
    </row>
    <row r="3719" spans="4:11" s="3" customFormat="1" x14ac:dyDescent="0.3">
      <c r="D3719" s="4"/>
      <c r="K3719" s="9"/>
    </row>
    <row r="3720" spans="4:11" s="3" customFormat="1" x14ac:dyDescent="0.3">
      <c r="D3720" s="4"/>
      <c r="K3720" s="9"/>
    </row>
    <row r="3721" spans="4:11" s="3" customFormat="1" x14ac:dyDescent="0.3">
      <c r="D3721" s="4"/>
      <c r="K3721" s="9"/>
    </row>
    <row r="3722" spans="4:11" s="3" customFormat="1" x14ac:dyDescent="0.3">
      <c r="D3722" s="4"/>
      <c r="K3722" s="9"/>
    </row>
    <row r="3723" spans="4:11" s="3" customFormat="1" x14ac:dyDescent="0.3">
      <c r="D3723" s="4"/>
      <c r="K3723" s="9"/>
    </row>
    <row r="3724" spans="4:11" s="3" customFormat="1" x14ac:dyDescent="0.3">
      <c r="D3724" s="4"/>
      <c r="K3724" s="9"/>
    </row>
    <row r="3725" spans="4:11" s="3" customFormat="1" x14ac:dyDescent="0.3">
      <c r="D3725" s="4"/>
      <c r="K3725" s="9"/>
    </row>
    <row r="3726" spans="4:11" s="3" customFormat="1" x14ac:dyDescent="0.3">
      <c r="D3726" s="4"/>
      <c r="K3726" s="9"/>
    </row>
    <row r="3727" spans="4:11" s="3" customFormat="1" x14ac:dyDescent="0.3">
      <c r="D3727" s="4"/>
      <c r="K3727" s="9"/>
    </row>
    <row r="3728" spans="4:11" s="3" customFormat="1" x14ac:dyDescent="0.3">
      <c r="D3728" s="4"/>
      <c r="K3728" s="9"/>
    </row>
    <row r="3729" spans="4:11" s="3" customFormat="1" x14ac:dyDescent="0.3">
      <c r="D3729" s="4"/>
      <c r="K3729" s="9"/>
    </row>
    <row r="3730" spans="4:11" s="3" customFormat="1" x14ac:dyDescent="0.3">
      <c r="D3730" s="4"/>
      <c r="K3730" s="9"/>
    </row>
    <row r="3731" spans="4:11" s="3" customFormat="1" x14ac:dyDescent="0.3">
      <c r="D3731" s="4"/>
      <c r="K3731" s="9"/>
    </row>
    <row r="3732" spans="4:11" s="3" customFormat="1" x14ac:dyDescent="0.3">
      <c r="D3732" s="4"/>
      <c r="K3732" s="9"/>
    </row>
    <row r="3733" spans="4:11" s="3" customFormat="1" x14ac:dyDescent="0.3">
      <c r="D3733" s="4"/>
      <c r="K3733" s="9"/>
    </row>
    <row r="3734" spans="4:11" s="3" customFormat="1" x14ac:dyDescent="0.3">
      <c r="D3734" s="4"/>
      <c r="K3734" s="9"/>
    </row>
    <row r="3735" spans="4:11" s="3" customFormat="1" x14ac:dyDescent="0.3">
      <c r="D3735" s="4"/>
      <c r="K3735" s="9"/>
    </row>
    <row r="3736" spans="4:11" s="3" customFormat="1" x14ac:dyDescent="0.3">
      <c r="D3736" s="4"/>
      <c r="K3736" s="9"/>
    </row>
    <row r="3737" spans="4:11" s="3" customFormat="1" x14ac:dyDescent="0.3">
      <c r="D3737" s="4"/>
      <c r="K3737" s="9"/>
    </row>
    <row r="3738" spans="4:11" s="3" customFormat="1" x14ac:dyDescent="0.3">
      <c r="D3738" s="4"/>
      <c r="K3738" s="9"/>
    </row>
    <row r="3739" spans="4:11" s="3" customFormat="1" x14ac:dyDescent="0.3">
      <c r="D3739" s="4"/>
      <c r="K3739" s="9"/>
    </row>
    <row r="3740" spans="4:11" s="3" customFormat="1" x14ac:dyDescent="0.3">
      <c r="D3740" s="4"/>
      <c r="K3740" s="9"/>
    </row>
    <row r="3741" spans="4:11" s="3" customFormat="1" x14ac:dyDescent="0.3">
      <c r="D3741" s="4"/>
      <c r="K3741" s="9"/>
    </row>
    <row r="3742" spans="4:11" s="3" customFormat="1" x14ac:dyDescent="0.3">
      <c r="D3742" s="4"/>
      <c r="K3742" s="9"/>
    </row>
    <row r="3743" spans="4:11" s="3" customFormat="1" x14ac:dyDescent="0.3">
      <c r="D3743" s="4"/>
      <c r="K3743" s="9"/>
    </row>
    <row r="3744" spans="4:11" s="3" customFormat="1" x14ac:dyDescent="0.3">
      <c r="D3744" s="4"/>
      <c r="K3744" s="9"/>
    </row>
    <row r="3745" spans="4:11" s="3" customFormat="1" x14ac:dyDescent="0.3">
      <c r="D3745" s="4"/>
      <c r="K3745" s="9"/>
    </row>
    <row r="3746" spans="4:11" s="3" customFormat="1" x14ac:dyDescent="0.3">
      <c r="D3746" s="4"/>
      <c r="K3746" s="9"/>
    </row>
    <row r="3747" spans="4:11" s="3" customFormat="1" x14ac:dyDescent="0.3">
      <c r="D3747" s="4"/>
      <c r="K3747" s="9"/>
    </row>
    <row r="3748" spans="4:11" s="3" customFormat="1" x14ac:dyDescent="0.3">
      <c r="D3748" s="4"/>
      <c r="K3748" s="9"/>
    </row>
    <row r="3749" spans="4:11" s="3" customFormat="1" x14ac:dyDescent="0.3">
      <c r="D3749" s="4"/>
      <c r="K3749" s="9"/>
    </row>
    <row r="3750" spans="4:11" s="3" customFormat="1" x14ac:dyDescent="0.3">
      <c r="D3750" s="4"/>
      <c r="K3750" s="9"/>
    </row>
    <row r="3751" spans="4:11" s="3" customFormat="1" x14ac:dyDescent="0.3">
      <c r="D3751" s="4"/>
      <c r="K3751" s="9"/>
    </row>
    <row r="3752" spans="4:11" s="3" customFormat="1" x14ac:dyDescent="0.3">
      <c r="D3752" s="4"/>
      <c r="K3752" s="9"/>
    </row>
    <row r="3753" spans="4:11" s="3" customFormat="1" x14ac:dyDescent="0.3">
      <c r="D3753" s="4"/>
      <c r="K3753" s="9"/>
    </row>
    <row r="3754" spans="4:11" s="3" customFormat="1" x14ac:dyDescent="0.3">
      <c r="D3754" s="4"/>
      <c r="K3754" s="9"/>
    </row>
    <row r="3755" spans="4:11" s="3" customFormat="1" x14ac:dyDescent="0.3">
      <c r="D3755" s="4"/>
      <c r="K3755" s="9"/>
    </row>
    <row r="3756" spans="4:11" s="3" customFormat="1" x14ac:dyDescent="0.3">
      <c r="D3756" s="4"/>
      <c r="K3756" s="9"/>
    </row>
    <row r="3757" spans="4:11" s="3" customFormat="1" x14ac:dyDescent="0.3">
      <c r="D3757" s="4"/>
      <c r="K3757" s="9"/>
    </row>
    <row r="3758" spans="4:11" s="3" customFormat="1" x14ac:dyDescent="0.3">
      <c r="D3758" s="4"/>
      <c r="K3758" s="9"/>
    </row>
    <row r="3759" spans="4:11" s="3" customFormat="1" x14ac:dyDescent="0.3">
      <c r="D3759" s="4"/>
      <c r="K3759" s="9"/>
    </row>
    <row r="3760" spans="4:11" s="3" customFormat="1" x14ac:dyDescent="0.3">
      <c r="D3760" s="4"/>
      <c r="K3760" s="9"/>
    </row>
    <row r="3761" spans="4:11" s="3" customFormat="1" x14ac:dyDescent="0.3">
      <c r="D3761" s="4"/>
      <c r="K3761" s="9"/>
    </row>
    <row r="3762" spans="4:11" s="3" customFormat="1" x14ac:dyDescent="0.3">
      <c r="D3762" s="4"/>
      <c r="K3762" s="9"/>
    </row>
    <row r="3763" spans="4:11" s="3" customFormat="1" x14ac:dyDescent="0.3">
      <c r="D3763" s="4"/>
      <c r="K3763" s="9"/>
    </row>
    <row r="3764" spans="4:11" s="3" customFormat="1" x14ac:dyDescent="0.3">
      <c r="D3764" s="4"/>
      <c r="K3764" s="9"/>
    </row>
    <row r="3765" spans="4:11" s="3" customFormat="1" x14ac:dyDescent="0.3">
      <c r="D3765" s="4"/>
      <c r="K3765" s="9"/>
    </row>
    <row r="3766" spans="4:11" s="3" customFormat="1" x14ac:dyDescent="0.3">
      <c r="D3766" s="4"/>
      <c r="K3766" s="9"/>
    </row>
    <row r="3767" spans="4:11" s="3" customFormat="1" x14ac:dyDescent="0.3">
      <c r="D3767" s="4"/>
      <c r="K3767" s="9"/>
    </row>
    <row r="3768" spans="4:11" s="3" customFormat="1" x14ac:dyDescent="0.3">
      <c r="D3768" s="4"/>
      <c r="K3768" s="9"/>
    </row>
    <row r="3769" spans="4:11" s="3" customFormat="1" x14ac:dyDescent="0.3">
      <c r="D3769" s="4"/>
      <c r="K3769" s="9"/>
    </row>
    <row r="3770" spans="4:11" s="3" customFormat="1" x14ac:dyDescent="0.3">
      <c r="D3770" s="4"/>
      <c r="K3770" s="9"/>
    </row>
    <row r="3771" spans="4:11" s="3" customFormat="1" x14ac:dyDescent="0.3">
      <c r="D3771" s="4"/>
      <c r="K3771" s="9"/>
    </row>
    <row r="3772" spans="4:11" s="3" customFormat="1" x14ac:dyDescent="0.3">
      <c r="D3772" s="4"/>
      <c r="K3772" s="9"/>
    </row>
    <row r="3773" spans="4:11" s="3" customFormat="1" x14ac:dyDescent="0.3">
      <c r="D3773" s="4"/>
      <c r="K3773" s="9"/>
    </row>
    <row r="3774" spans="4:11" s="3" customFormat="1" x14ac:dyDescent="0.3">
      <c r="D3774" s="4"/>
      <c r="K3774" s="9"/>
    </row>
    <row r="3775" spans="4:11" s="3" customFormat="1" x14ac:dyDescent="0.3">
      <c r="D3775" s="4"/>
      <c r="K3775" s="9"/>
    </row>
    <row r="3776" spans="4:11" s="3" customFormat="1" x14ac:dyDescent="0.3">
      <c r="D3776" s="4"/>
      <c r="K3776" s="9"/>
    </row>
    <row r="3777" spans="4:11" s="3" customFormat="1" x14ac:dyDescent="0.3">
      <c r="D3777" s="4"/>
      <c r="K3777" s="9"/>
    </row>
    <row r="3778" spans="4:11" s="3" customFormat="1" x14ac:dyDescent="0.3">
      <c r="D3778" s="4"/>
      <c r="K3778" s="9"/>
    </row>
    <row r="3779" spans="4:11" s="3" customFormat="1" x14ac:dyDescent="0.3">
      <c r="D3779" s="4"/>
      <c r="K3779" s="9"/>
    </row>
    <row r="3780" spans="4:11" s="3" customFormat="1" x14ac:dyDescent="0.3">
      <c r="D3780" s="4"/>
      <c r="K3780" s="9"/>
    </row>
    <row r="3781" spans="4:11" s="3" customFormat="1" x14ac:dyDescent="0.3">
      <c r="D3781" s="4"/>
      <c r="K3781" s="9"/>
    </row>
    <row r="3782" spans="4:11" s="3" customFormat="1" x14ac:dyDescent="0.3">
      <c r="D3782" s="4"/>
      <c r="K3782" s="9"/>
    </row>
    <row r="3783" spans="4:11" s="3" customFormat="1" x14ac:dyDescent="0.3">
      <c r="D3783" s="4"/>
      <c r="K3783" s="9"/>
    </row>
    <row r="3784" spans="4:11" s="3" customFormat="1" x14ac:dyDescent="0.3">
      <c r="D3784" s="4"/>
      <c r="K3784" s="9"/>
    </row>
    <row r="3785" spans="4:11" s="3" customFormat="1" x14ac:dyDescent="0.3">
      <c r="D3785" s="4"/>
      <c r="K3785" s="9"/>
    </row>
    <row r="3786" spans="4:11" s="3" customFormat="1" x14ac:dyDescent="0.3">
      <c r="D3786" s="4"/>
      <c r="K3786" s="9"/>
    </row>
    <row r="3787" spans="4:11" s="3" customFormat="1" x14ac:dyDescent="0.3">
      <c r="D3787" s="4"/>
      <c r="K3787" s="9"/>
    </row>
    <row r="3788" spans="4:11" s="3" customFormat="1" x14ac:dyDescent="0.3">
      <c r="D3788" s="4"/>
      <c r="K3788" s="9"/>
    </row>
    <row r="3789" spans="4:11" s="3" customFormat="1" x14ac:dyDescent="0.3">
      <c r="D3789" s="4"/>
      <c r="K3789" s="9"/>
    </row>
    <row r="3790" spans="4:11" s="3" customFormat="1" x14ac:dyDescent="0.3">
      <c r="D3790" s="4"/>
      <c r="K3790" s="9"/>
    </row>
    <row r="3791" spans="4:11" s="3" customFormat="1" x14ac:dyDescent="0.3">
      <c r="D3791" s="4"/>
      <c r="K3791" s="9"/>
    </row>
    <row r="3792" spans="4:11" s="3" customFormat="1" x14ac:dyDescent="0.3">
      <c r="D3792" s="4"/>
      <c r="K3792" s="9"/>
    </row>
    <row r="3793" spans="4:11" s="3" customFormat="1" x14ac:dyDescent="0.3">
      <c r="D3793" s="4"/>
      <c r="K3793" s="9"/>
    </row>
    <row r="3794" spans="4:11" s="3" customFormat="1" x14ac:dyDescent="0.3">
      <c r="D3794" s="4"/>
      <c r="K3794" s="9"/>
    </row>
    <row r="3795" spans="4:11" s="3" customFormat="1" x14ac:dyDescent="0.3">
      <c r="D3795" s="4"/>
      <c r="K3795" s="9"/>
    </row>
    <row r="3796" spans="4:11" s="3" customFormat="1" x14ac:dyDescent="0.3">
      <c r="D3796" s="4"/>
      <c r="K3796" s="9"/>
    </row>
    <row r="3797" spans="4:11" s="3" customFormat="1" x14ac:dyDescent="0.3">
      <c r="D3797" s="4"/>
      <c r="K3797" s="9"/>
    </row>
    <row r="3798" spans="4:11" s="3" customFormat="1" x14ac:dyDescent="0.3">
      <c r="D3798" s="4"/>
      <c r="K3798" s="9"/>
    </row>
    <row r="3799" spans="4:11" s="3" customFormat="1" x14ac:dyDescent="0.3">
      <c r="D3799" s="4"/>
      <c r="K3799" s="9"/>
    </row>
    <row r="3800" spans="4:11" s="3" customFormat="1" x14ac:dyDescent="0.3">
      <c r="D3800" s="4"/>
      <c r="K3800" s="9"/>
    </row>
    <row r="3801" spans="4:11" s="3" customFormat="1" x14ac:dyDescent="0.3">
      <c r="D3801" s="4"/>
      <c r="K3801" s="9"/>
    </row>
    <row r="3802" spans="4:11" s="3" customFormat="1" x14ac:dyDescent="0.3">
      <c r="D3802" s="4"/>
      <c r="K3802" s="9"/>
    </row>
    <row r="3803" spans="4:11" s="3" customFormat="1" x14ac:dyDescent="0.3">
      <c r="D3803" s="4"/>
      <c r="K3803" s="9"/>
    </row>
    <row r="3804" spans="4:11" s="3" customFormat="1" x14ac:dyDescent="0.3">
      <c r="D3804" s="4"/>
      <c r="K3804" s="9"/>
    </row>
    <row r="3805" spans="4:11" s="3" customFormat="1" x14ac:dyDescent="0.3">
      <c r="D3805" s="4"/>
      <c r="K3805" s="9"/>
    </row>
    <row r="3806" spans="4:11" s="3" customFormat="1" x14ac:dyDescent="0.3">
      <c r="D3806" s="4"/>
      <c r="K3806" s="9"/>
    </row>
    <row r="3807" spans="4:11" s="3" customFormat="1" x14ac:dyDescent="0.3">
      <c r="D3807" s="4"/>
      <c r="K3807" s="9"/>
    </row>
    <row r="3808" spans="4:11" s="3" customFormat="1" x14ac:dyDescent="0.3">
      <c r="D3808" s="4"/>
      <c r="K3808" s="9"/>
    </row>
    <row r="3809" spans="4:11" s="3" customFormat="1" x14ac:dyDescent="0.3">
      <c r="D3809" s="4"/>
      <c r="K3809" s="9"/>
    </row>
    <row r="3810" spans="4:11" s="3" customFormat="1" x14ac:dyDescent="0.3">
      <c r="D3810" s="4"/>
      <c r="K3810" s="9"/>
    </row>
    <row r="3811" spans="4:11" s="3" customFormat="1" x14ac:dyDescent="0.3">
      <c r="D3811" s="4"/>
      <c r="K3811" s="9"/>
    </row>
    <row r="3812" spans="4:11" s="3" customFormat="1" x14ac:dyDescent="0.3">
      <c r="D3812" s="4"/>
      <c r="K3812" s="9"/>
    </row>
    <row r="3813" spans="4:11" s="3" customFormat="1" x14ac:dyDescent="0.3">
      <c r="D3813" s="4"/>
      <c r="K3813" s="9"/>
    </row>
    <row r="3814" spans="4:11" s="3" customFormat="1" x14ac:dyDescent="0.3">
      <c r="D3814" s="4"/>
      <c r="K3814" s="9"/>
    </row>
    <row r="3815" spans="4:11" s="3" customFormat="1" x14ac:dyDescent="0.3">
      <c r="D3815" s="4"/>
      <c r="K3815" s="9"/>
    </row>
    <row r="3816" spans="4:11" s="3" customFormat="1" x14ac:dyDescent="0.3">
      <c r="D3816" s="4"/>
      <c r="K3816" s="9"/>
    </row>
    <row r="3817" spans="4:11" s="3" customFormat="1" x14ac:dyDescent="0.3">
      <c r="D3817" s="4"/>
      <c r="K3817" s="9"/>
    </row>
    <row r="3818" spans="4:11" s="3" customFormat="1" x14ac:dyDescent="0.3">
      <c r="D3818" s="4"/>
      <c r="K3818" s="9"/>
    </row>
    <row r="3819" spans="4:11" s="3" customFormat="1" x14ac:dyDescent="0.3">
      <c r="D3819" s="4"/>
      <c r="K3819" s="9"/>
    </row>
    <row r="3820" spans="4:11" s="3" customFormat="1" x14ac:dyDescent="0.3">
      <c r="D3820" s="4"/>
      <c r="K3820" s="9"/>
    </row>
    <row r="3821" spans="4:11" s="3" customFormat="1" x14ac:dyDescent="0.3">
      <c r="D3821" s="4"/>
      <c r="K3821" s="9"/>
    </row>
    <row r="3822" spans="4:11" s="3" customFormat="1" x14ac:dyDescent="0.3">
      <c r="D3822" s="4"/>
      <c r="K3822" s="9"/>
    </row>
    <row r="3823" spans="4:11" s="3" customFormat="1" x14ac:dyDescent="0.3">
      <c r="D3823" s="4"/>
      <c r="K3823" s="9"/>
    </row>
    <row r="3824" spans="4:11" s="3" customFormat="1" x14ac:dyDescent="0.3">
      <c r="D3824" s="4"/>
      <c r="K3824" s="9"/>
    </row>
    <row r="3825" spans="4:11" s="3" customFormat="1" x14ac:dyDescent="0.3">
      <c r="D3825" s="4"/>
      <c r="K3825" s="9"/>
    </row>
    <row r="3826" spans="4:11" s="3" customFormat="1" x14ac:dyDescent="0.3">
      <c r="D3826" s="4"/>
      <c r="K3826" s="9"/>
    </row>
    <row r="3827" spans="4:11" s="3" customFormat="1" x14ac:dyDescent="0.3">
      <c r="D3827" s="4"/>
      <c r="K3827" s="9"/>
    </row>
    <row r="3828" spans="4:11" s="3" customFormat="1" x14ac:dyDescent="0.3">
      <c r="D3828" s="4"/>
      <c r="K3828" s="9"/>
    </row>
    <row r="3829" spans="4:11" s="3" customFormat="1" x14ac:dyDescent="0.3">
      <c r="D3829" s="4"/>
      <c r="K3829" s="9"/>
    </row>
    <row r="3830" spans="4:11" s="3" customFormat="1" x14ac:dyDescent="0.3">
      <c r="D3830" s="4"/>
      <c r="K3830" s="9"/>
    </row>
    <row r="3831" spans="4:11" s="3" customFormat="1" x14ac:dyDescent="0.3">
      <c r="D3831" s="4"/>
      <c r="K3831" s="9"/>
    </row>
    <row r="3832" spans="4:11" s="3" customFormat="1" x14ac:dyDescent="0.3">
      <c r="D3832" s="4"/>
      <c r="K3832" s="9"/>
    </row>
    <row r="3833" spans="4:11" s="3" customFormat="1" x14ac:dyDescent="0.3">
      <c r="D3833" s="4"/>
      <c r="K3833" s="9"/>
    </row>
    <row r="3834" spans="4:11" s="3" customFormat="1" x14ac:dyDescent="0.3">
      <c r="D3834" s="4"/>
      <c r="K3834" s="9"/>
    </row>
    <row r="3835" spans="4:11" s="3" customFormat="1" x14ac:dyDescent="0.3">
      <c r="D3835" s="4"/>
      <c r="K3835" s="9"/>
    </row>
    <row r="3836" spans="4:11" s="3" customFormat="1" x14ac:dyDescent="0.3">
      <c r="D3836" s="4"/>
      <c r="K3836" s="9"/>
    </row>
    <row r="3837" spans="4:11" s="3" customFormat="1" x14ac:dyDescent="0.3">
      <c r="D3837" s="4"/>
      <c r="K3837" s="9"/>
    </row>
    <row r="3838" spans="4:11" s="3" customFormat="1" x14ac:dyDescent="0.3">
      <c r="D3838" s="4"/>
      <c r="K3838" s="9"/>
    </row>
    <row r="3839" spans="4:11" s="3" customFormat="1" x14ac:dyDescent="0.3">
      <c r="D3839" s="4"/>
      <c r="K3839" s="9"/>
    </row>
    <row r="3840" spans="4:11" s="3" customFormat="1" x14ac:dyDescent="0.3">
      <c r="D3840" s="4"/>
      <c r="K3840" s="9"/>
    </row>
    <row r="3841" spans="4:11" s="3" customFormat="1" x14ac:dyDescent="0.3">
      <c r="D3841" s="4"/>
      <c r="K3841" s="9"/>
    </row>
    <row r="3842" spans="4:11" s="3" customFormat="1" x14ac:dyDescent="0.3">
      <c r="D3842" s="4"/>
      <c r="K3842" s="9"/>
    </row>
    <row r="3843" spans="4:11" s="3" customFormat="1" x14ac:dyDescent="0.3">
      <c r="D3843" s="4"/>
      <c r="K3843" s="9"/>
    </row>
    <row r="3844" spans="4:11" s="3" customFormat="1" x14ac:dyDescent="0.3">
      <c r="D3844" s="4"/>
      <c r="K3844" s="9"/>
    </row>
    <row r="3845" spans="4:11" s="3" customFormat="1" x14ac:dyDescent="0.3">
      <c r="D3845" s="4"/>
      <c r="K3845" s="9"/>
    </row>
    <row r="3846" spans="4:11" s="3" customFormat="1" x14ac:dyDescent="0.3">
      <c r="D3846" s="4"/>
      <c r="K3846" s="9"/>
    </row>
    <row r="3847" spans="4:11" s="3" customFormat="1" x14ac:dyDescent="0.3">
      <c r="D3847" s="4"/>
      <c r="K3847" s="9"/>
    </row>
    <row r="3848" spans="4:11" s="3" customFormat="1" x14ac:dyDescent="0.3">
      <c r="D3848" s="4"/>
      <c r="K3848" s="9"/>
    </row>
    <row r="3849" spans="4:11" s="3" customFormat="1" x14ac:dyDescent="0.3">
      <c r="D3849" s="4"/>
      <c r="K3849" s="9"/>
    </row>
    <row r="3850" spans="4:11" s="3" customFormat="1" x14ac:dyDescent="0.3">
      <c r="D3850" s="4"/>
      <c r="K3850" s="9"/>
    </row>
    <row r="3851" spans="4:11" s="3" customFormat="1" x14ac:dyDescent="0.3">
      <c r="D3851" s="4"/>
      <c r="K3851" s="9"/>
    </row>
    <row r="3852" spans="4:11" s="3" customFormat="1" x14ac:dyDescent="0.3">
      <c r="D3852" s="4"/>
      <c r="K3852" s="9"/>
    </row>
    <row r="3853" spans="4:11" s="3" customFormat="1" x14ac:dyDescent="0.3">
      <c r="D3853" s="4"/>
      <c r="K3853" s="9"/>
    </row>
    <row r="3854" spans="4:11" s="3" customFormat="1" x14ac:dyDescent="0.3">
      <c r="D3854" s="4"/>
      <c r="K3854" s="9"/>
    </row>
    <row r="3855" spans="4:11" s="3" customFormat="1" x14ac:dyDescent="0.3">
      <c r="D3855" s="4"/>
      <c r="K3855" s="9"/>
    </row>
    <row r="3856" spans="4:11" s="3" customFormat="1" x14ac:dyDescent="0.3">
      <c r="D3856" s="4"/>
      <c r="K3856" s="9"/>
    </row>
    <row r="3857" spans="4:11" s="3" customFormat="1" x14ac:dyDescent="0.3">
      <c r="D3857" s="4"/>
      <c r="K3857" s="9"/>
    </row>
    <row r="3858" spans="4:11" s="3" customFormat="1" x14ac:dyDescent="0.3">
      <c r="D3858" s="4"/>
      <c r="K3858" s="9"/>
    </row>
    <row r="3859" spans="4:11" s="3" customFormat="1" x14ac:dyDescent="0.3">
      <c r="D3859" s="4"/>
      <c r="K3859" s="9"/>
    </row>
    <row r="3860" spans="4:11" s="3" customFormat="1" x14ac:dyDescent="0.3">
      <c r="D3860" s="4"/>
      <c r="K3860" s="9"/>
    </row>
    <row r="3861" spans="4:11" s="3" customFormat="1" x14ac:dyDescent="0.3">
      <c r="D3861" s="4"/>
      <c r="K3861" s="9"/>
    </row>
    <row r="3862" spans="4:11" s="3" customFormat="1" x14ac:dyDescent="0.3">
      <c r="D3862" s="4"/>
      <c r="K3862" s="9"/>
    </row>
    <row r="3863" spans="4:11" s="3" customFormat="1" x14ac:dyDescent="0.3">
      <c r="D3863" s="4"/>
      <c r="K3863" s="9"/>
    </row>
    <row r="3864" spans="4:11" s="3" customFormat="1" x14ac:dyDescent="0.3">
      <c r="D3864" s="4"/>
      <c r="K3864" s="9"/>
    </row>
    <row r="3865" spans="4:11" s="3" customFormat="1" x14ac:dyDescent="0.3">
      <c r="D3865" s="4"/>
      <c r="K3865" s="9"/>
    </row>
    <row r="3866" spans="4:11" s="3" customFormat="1" x14ac:dyDescent="0.3">
      <c r="D3866" s="4"/>
      <c r="K3866" s="9"/>
    </row>
    <row r="3867" spans="4:11" s="3" customFormat="1" x14ac:dyDescent="0.3">
      <c r="D3867" s="4"/>
      <c r="K3867" s="9"/>
    </row>
    <row r="3868" spans="4:11" s="3" customFormat="1" x14ac:dyDescent="0.3">
      <c r="D3868" s="4"/>
      <c r="K3868" s="9"/>
    </row>
    <row r="3869" spans="4:11" s="3" customFormat="1" x14ac:dyDescent="0.3">
      <c r="D3869" s="4"/>
      <c r="K3869" s="9"/>
    </row>
    <row r="3870" spans="4:11" s="3" customFormat="1" x14ac:dyDescent="0.3">
      <c r="D3870" s="4"/>
      <c r="K3870" s="9"/>
    </row>
    <row r="3871" spans="4:11" s="3" customFormat="1" x14ac:dyDescent="0.3">
      <c r="D3871" s="4"/>
      <c r="K3871" s="9"/>
    </row>
    <row r="3872" spans="4:11" s="3" customFormat="1" x14ac:dyDescent="0.3">
      <c r="D3872" s="4"/>
      <c r="K3872" s="9"/>
    </row>
    <row r="3873" spans="4:11" s="3" customFormat="1" x14ac:dyDescent="0.3">
      <c r="D3873" s="4"/>
      <c r="K3873" s="9"/>
    </row>
    <row r="3874" spans="4:11" s="3" customFormat="1" x14ac:dyDescent="0.3">
      <c r="D3874" s="4"/>
      <c r="K3874" s="9"/>
    </row>
    <row r="3875" spans="4:11" s="3" customFormat="1" x14ac:dyDescent="0.3">
      <c r="D3875" s="4"/>
      <c r="K3875" s="9"/>
    </row>
    <row r="3876" spans="4:11" s="3" customFormat="1" x14ac:dyDescent="0.3">
      <c r="D3876" s="4"/>
      <c r="K3876" s="9"/>
    </row>
    <row r="3877" spans="4:11" s="3" customFormat="1" x14ac:dyDescent="0.3">
      <c r="D3877" s="4"/>
      <c r="K3877" s="9"/>
    </row>
    <row r="3878" spans="4:11" s="3" customFormat="1" x14ac:dyDescent="0.3">
      <c r="D3878" s="4"/>
      <c r="K3878" s="9"/>
    </row>
    <row r="3879" spans="4:11" s="3" customFormat="1" x14ac:dyDescent="0.3">
      <c r="D3879" s="4"/>
      <c r="K3879" s="9"/>
    </row>
    <row r="3880" spans="4:11" s="3" customFormat="1" x14ac:dyDescent="0.3">
      <c r="D3880" s="4"/>
      <c r="K3880" s="9"/>
    </row>
    <row r="3881" spans="4:11" s="3" customFormat="1" x14ac:dyDescent="0.3">
      <c r="D3881" s="4"/>
      <c r="K3881" s="9"/>
    </row>
    <row r="3882" spans="4:11" s="3" customFormat="1" x14ac:dyDescent="0.3">
      <c r="D3882" s="4"/>
      <c r="K3882" s="9"/>
    </row>
    <row r="3883" spans="4:11" s="3" customFormat="1" x14ac:dyDescent="0.3">
      <c r="D3883" s="4"/>
      <c r="K3883" s="9"/>
    </row>
    <row r="3884" spans="4:11" s="3" customFormat="1" x14ac:dyDescent="0.3">
      <c r="D3884" s="4"/>
      <c r="K3884" s="9"/>
    </row>
    <row r="3885" spans="4:11" s="3" customFormat="1" x14ac:dyDescent="0.3">
      <c r="D3885" s="4"/>
      <c r="K3885" s="9"/>
    </row>
    <row r="3886" spans="4:11" s="3" customFormat="1" x14ac:dyDescent="0.3">
      <c r="D3886" s="4"/>
      <c r="K3886" s="9"/>
    </row>
    <row r="3887" spans="4:11" s="3" customFormat="1" x14ac:dyDescent="0.3">
      <c r="D3887" s="4"/>
      <c r="K3887" s="9"/>
    </row>
    <row r="3888" spans="4:11" s="3" customFormat="1" x14ac:dyDescent="0.3">
      <c r="D3888" s="4"/>
      <c r="K3888" s="9"/>
    </row>
    <row r="3889" spans="4:11" s="3" customFormat="1" x14ac:dyDescent="0.3">
      <c r="D3889" s="4"/>
      <c r="K3889" s="9"/>
    </row>
    <row r="3890" spans="4:11" s="3" customFormat="1" x14ac:dyDescent="0.3">
      <c r="D3890" s="4"/>
      <c r="K3890" s="9"/>
    </row>
    <row r="3891" spans="4:11" s="3" customFormat="1" x14ac:dyDescent="0.3">
      <c r="D3891" s="4"/>
      <c r="K3891" s="9"/>
    </row>
    <row r="3892" spans="4:11" s="3" customFormat="1" x14ac:dyDescent="0.3">
      <c r="D3892" s="4"/>
      <c r="K3892" s="9"/>
    </row>
    <row r="3893" spans="4:11" s="3" customFormat="1" x14ac:dyDescent="0.3">
      <c r="D3893" s="4"/>
      <c r="K3893" s="9"/>
    </row>
    <row r="3894" spans="4:11" s="3" customFormat="1" x14ac:dyDescent="0.3">
      <c r="D3894" s="4"/>
      <c r="K3894" s="9"/>
    </row>
    <row r="3895" spans="4:11" s="3" customFormat="1" x14ac:dyDescent="0.3">
      <c r="D3895" s="4"/>
      <c r="K3895" s="9"/>
    </row>
    <row r="3896" spans="4:11" s="3" customFormat="1" x14ac:dyDescent="0.3">
      <c r="D3896" s="4"/>
      <c r="K3896" s="9"/>
    </row>
    <row r="3897" spans="4:11" s="3" customFormat="1" x14ac:dyDescent="0.3">
      <c r="D3897" s="4"/>
      <c r="K3897" s="9"/>
    </row>
    <row r="3898" spans="4:11" s="3" customFormat="1" x14ac:dyDescent="0.3">
      <c r="D3898" s="4"/>
      <c r="K3898" s="9"/>
    </row>
    <row r="3899" spans="4:11" s="3" customFormat="1" x14ac:dyDescent="0.3">
      <c r="D3899" s="4"/>
      <c r="K3899" s="9"/>
    </row>
    <row r="3900" spans="4:11" s="3" customFormat="1" x14ac:dyDescent="0.3">
      <c r="D3900" s="4"/>
      <c r="K3900" s="9"/>
    </row>
    <row r="3901" spans="4:11" s="3" customFormat="1" x14ac:dyDescent="0.3">
      <c r="D3901" s="4"/>
      <c r="K3901" s="9"/>
    </row>
    <row r="3902" spans="4:11" s="3" customFormat="1" x14ac:dyDescent="0.3">
      <c r="D3902" s="4"/>
      <c r="K3902" s="9"/>
    </row>
    <row r="3903" spans="4:11" s="3" customFormat="1" x14ac:dyDescent="0.3">
      <c r="D3903" s="4"/>
      <c r="K3903" s="9"/>
    </row>
    <row r="3904" spans="4:11" s="3" customFormat="1" x14ac:dyDescent="0.3">
      <c r="D3904" s="4"/>
      <c r="K3904" s="9"/>
    </row>
    <row r="3905" spans="4:11" s="3" customFormat="1" x14ac:dyDescent="0.3">
      <c r="D3905" s="4"/>
      <c r="K3905" s="9"/>
    </row>
    <row r="3906" spans="4:11" s="3" customFormat="1" x14ac:dyDescent="0.3">
      <c r="D3906" s="4"/>
      <c r="K3906" s="9"/>
    </row>
    <row r="3907" spans="4:11" s="3" customFormat="1" x14ac:dyDescent="0.3">
      <c r="D3907" s="4"/>
      <c r="K3907" s="9"/>
    </row>
    <row r="3908" spans="4:11" s="3" customFormat="1" x14ac:dyDescent="0.3">
      <c r="D3908" s="4"/>
      <c r="K3908" s="9"/>
    </row>
    <row r="3909" spans="4:11" s="3" customFormat="1" x14ac:dyDescent="0.3">
      <c r="D3909" s="4"/>
      <c r="K3909" s="9"/>
    </row>
    <row r="3910" spans="4:11" s="3" customFormat="1" x14ac:dyDescent="0.3">
      <c r="D3910" s="4"/>
      <c r="K3910" s="9"/>
    </row>
    <row r="3911" spans="4:11" s="3" customFormat="1" x14ac:dyDescent="0.3">
      <c r="D3911" s="4"/>
      <c r="K3911" s="9"/>
    </row>
    <row r="3912" spans="4:11" s="3" customFormat="1" x14ac:dyDescent="0.3">
      <c r="D3912" s="4"/>
      <c r="K3912" s="9"/>
    </row>
    <row r="3913" spans="4:11" s="3" customFormat="1" x14ac:dyDescent="0.3">
      <c r="D3913" s="4"/>
      <c r="K3913" s="9"/>
    </row>
    <row r="3914" spans="4:11" s="3" customFormat="1" x14ac:dyDescent="0.3">
      <c r="D3914" s="4"/>
      <c r="K3914" s="9"/>
    </row>
    <row r="3915" spans="4:11" s="3" customFormat="1" x14ac:dyDescent="0.3">
      <c r="D3915" s="4"/>
      <c r="K3915" s="9"/>
    </row>
    <row r="3916" spans="4:11" s="3" customFormat="1" x14ac:dyDescent="0.3">
      <c r="D3916" s="4"/>
      <c r="K3916" s="9"/>
    </row>
    <row r="3917" spans="4:11" s="3" customFormat="1" x14ac:dyDescent="0.3">
      <c r="D3917" s="4"/>
      <c r="K3917" s="9"/>
    </row>
    <row r="3918" spans="4:11" s="3" customFormat="1" x14ac:dyDescent="0.3">
      <c r="D3918" s="4"/>
      <c r="K3918" s="9"/>
    </row>
    <row r="3919" spans="4:11" s="3" customFormat="1" x14ac:dyDescent="0.3">
      <c r="D3919" s="4"/>
      <c r="K3919" s="9"/>
    </row>
    <row r="3920" spans="4:11" s="3" customFormat="1" x14ac:dyDescent="0.3">
      <c r="D3920" s="4"/>
      <c r="K3920" s="9"/>
    </row>
    <row r="3921" spans="4:11" s="3" customFormat="1" x14ac:dyDescent="0.3">
      <c r="D3921" s="4"/>
      <c r="K3921" s="9"/>
    </row>
    <row r="3922" spans="4:11" s="3" customFormat="1" x14ac:dyDescent="0.3">
      <c r="D3922" s="4"/>
      <c r="K3922" s="9"/>
    </row>
    <row r="3923" spans="4:11" s="3" customFormat="1" x14ac:dyDescent="0.3">
      <c r="D3923" s="4"/>
      <c r="K3923" s="9"/>
    </row>
    <row r="3924" spans="4:11" s="3" customFormat="1" x14ac:dyDescent="0.3">
      <c r="D3924" s="4"/>
      <c r="K3924" s="9"/>
    </row>
    <row r="3925" spans="4:11" s="3" customFormat="1" x14ac:dyDescent="0.3">
      <c r="D3925" s="4"/>
      <c r="K3925" s="9"/>
    </row>
    <row r="3926" spans="4:11" s="3" customFormat="1" x14ac:dyDescent="0.3">
      <c r="D3926" s="4"/>
      <c r="K3926" s="9"/>
    </row>
    <row r="3927" spans="4:11" s="3" customFormat="1" x14ac:dyDescent="0.3">
      <c r="D3927" s="4"/>
      <c r="K3927" s="9"/>
    </row>
    <row r="3928" spans="4:11" s="3" customFormat="1" x14ac:dyDescent="0.3">
      <c r="D3928" s="4"/>
      <c r="K3928" s="9"/>
    </row>
    <row r="3929" spans="4:11" s="3" customFormat="1" x14ac:dyDescent="0.3">
      <c r="D3929" s="4"/>
      <c r="K3929" s="9"/>
    </row>
    <row r="3930" spans="4:11" s="3" customFormat="1" x14ac:dyDescent="0.3">
      <c r="D3930" s="4"/>
      <c r="K3930" s="9"/>
    </row>
    <row r="3931" spans="4:11" s="3" customFormat="1" x14ac:dyDescent="0.3">
      <c r="D3931" s="4"/>
      <c r="K3931" s="9"/>
    </row>
    <row r="3932" spans="4:11" s="3" customFormat="1" x14ac:dyDescent="0.3">
      <c r="D3932" s="4"/>
      <c r="K3932" s="9"/>
    </row>
    <row r="3933" spans="4:11" s="3" customFormat="1" x14ac:dyDescent="0.3">
      <c r="D3933" s="4"/>
      <c r="K3933" s="9"/>
    </row>
    <row r="3934" spans="4:11" s="3" customFormat="1" x14ac:dyDescent="0.3">
      <c r="D3934" s="4"/>
      <c r="K3934" s="9"/>
    </row>
    <row r="3935" spans="4:11" s="3" customFormat="1" x14ac:dyDescent="0.3">
      <c r="D3935" s="4"/>
      <c r="K3935" s="9"/>
    </row>
    <row r="3936" spans="4:11" s="3" customFormat="1" x14ac:dyDescent="0.3">
      <c r="D3936" s="4"/>
      <c r="K3936" s="9"/>
    </row>
    <row r="3937" spans="4:11" s="3" customFormat="1" x14ac:dyDescent="0.3">
      <c r="D3937" s="4"/>
      <c r="K3937" s="9"/>
    </row>
    <row r="3938" spans="4:11" s="3" customFormat="1" x14ac:dyDescent="0.3">
      <c r="D3938" s="4"/>
      <c r="K3938" s="9"/>
    </row>
    <row r="3939" spans="4:11" s="3" customFormat="1" x14ac:dyDescent="0.3">
      <c r="D3939" s="4"/>
      <c r="K3939" s="9"/>
    </row>
    <row r="3940" spans="4:11" s="3" customFormat="1" x14ac:dyDescent="0.3">
      <c r="D3940" s="4"/>
      <c r="K3940" s="9"/>
    </row>
    <row r="3941" spans="4:11" s="3" customFormat="1" x14ac:dyDescent="0.3">
      <c r="D3941" s="4"/>
      <c r="K3941" s="9"/>
    </row>
    <row r="3942" spans="4:11" s="3" customFormat="1" x14ac:dyDescent="0.3">
      <c r="D3942" s="4"/>
      <c r="K3942" s="9"/>
    </row>
    <row r="3943" spans="4:11" s="3" customFormat="1" x14ac:dyDescent="0.3">
      <c r="D3943" s="4"/>
      <c r="K3943" s="9"/>
    </row>
    <row r="3944" spans="4:11" s="3" customFormat="1" x14ac:dyDescent="0.3">
      <c r="D3944" s="4"/>
      <c r="K3944" s="9"/>
    </row>
    <row r="3945" spans="4:11" s="3" customFormat="1" x14ac:dyDescent="0.3">
      <c r="D3945" s="4"/>
      <c r="K3945" s="9"/>
    </row>
    <row r="3946" spans="4:11" s="3" customFormat="1" x14ac:dyDescent="0.3">
      <c r="D3946" s="4"/>
      <c r="K3946" s="9"/>
    </row>
    <row r="3947" spans="4:11" s="3" customFormat="1" x14ac:dyDescent="0.3">
      <c r="D3947" s="4"/>
      <c r="K3947" s="9"/>
    </row>
    <row r="3948" spans="4:11" s="3" customFormat="1" x14ac:dyDescent="0.3">
      <c r="D3948" s="4"/>
      <c r="K3948" s="9"/>
    </row>
    <row r="3949" spans="4:11" s="3" customFormat="1" x14ac:dyDescent="0.3">
      <c r="D3949" s="4"/>
      <c r="K3949" s="9"/>
    </row>
    <row r="3950" spans="4:11" s="3" customFormat="1" x14ac:dyDescent="0.3">
      <c r="D3950" s="4"/>
      <c r="K3950" s="9"/>
    </row>
    <row r="3951" spans="4:11" s="3" customFormat="1" x14ac:dyDescent="0.3">
      <c r="D3951" s="4"/>
      <c r="K3951" s="9"/>
    </row>
    <row r="3952" spans="4:11" s="3" customFormat="1" x14ac:dyDescent="0.3">
      <c r="D3952" s="4"/>
      <c r="K3952" s="9"/>
    </row>
    <row r="3953" spans="4:11" s="3" customFormat="1" x14ac:dyDescent="0.3">
      <c r="D3953" s="4"/>
      <c r="K3953" s="9"/>
    </row>
    <row r="3954" spans="4:11" s="3" customFormat="1" x14ac:dyDescent="0.3">
      <c r="D3954" s="4"/>
      <c r="K3954" s="9"/>
    </row>
    <row r="3955" spans="4:11" s="3" customFormat="1" x14ac:dyDescent="0.3">
      <c r="D3955" s="4"/>
      <c r="K3955" s="9"/>
    </row>
    <row r="3956" spans="4:11" s="3" customFormat="1" x14ac:dyDescent="0.3">
      <c r="D3956" s="4"/>
      <c r="K3956" s="9"/>
    </row>
    <row r="3957" spans="4:11" s="3" customFormat="1" x14ac:dyDescent="0.3">
      <c r="D3957" s="4"/>
      <c r="K3957" s="9"/>
    </row>
    <row r="3958" spans="4:11" s="3" customFormat="1" x14ac:dyDescent="0.3">
      <c r="D3958" s="4"/>
      <c r="K3958" s="9"/>
    </row>
    <row r="3959" spans="4:11" s="3" customFormat="1" x14ac:dyDescent="0.3">
      <c r="D3959" s="4"/>
      <c r="K3959" s="9"/>
    </row>
    <row r="3960" spans="4:11" s="3" customFormat="1" x14ac:dyDescent="0.3">
      <c r="D3960" s="4"/>
      <c r="K3960" s="9"/>
    </row>
    <row r="3961" spans="4:11" s="3" customFormat="1" x14ac:dyDescent="0.3">
      <c r="D3961" s="4"/>
      <c r="K3961" s="9"/>
    </row>
    <row r="3962" spans="4:11" s="3" customFormat="1" x14ac:dyDescent="0.3">
      <c r="D3962" s="4"/>
      <c r="K3962" s="9"/>
    </row>
    <row r="3963" spans="4:11" s="3" customFormat="1" x14ac:dyDescent="0.3">
      <c r="D3963" s="4"/>
      <c r="K3963" s="9"/>
    </row>
    <row r="3964" spans="4:11" s="3" customFormat="1" x14ac:dyDescent="0.3">
      <c r="D3964" s="4"/>
      <c r="K3964" s="9"/>
    </row>
    <row r="3965" spans="4:11" s="3" customFormat="1" x14ac:dyDescent="0.3">
      <c r="D3965" s="4"/>
      <c r="K3965" s="9"/>
    </row>
    <row r="3966" spans="4:11" s="3" customFormat="1" x14ac:dyDescent="0.3">
      <c r="D3966" s="4"/>
      <c r="K3966" s="9"/>
    </row>
    <row r="3967" spans="4:11" s="3" customFormat="1" x14ac:dyDescent="0.3">
      <c r="D3967" s="4"/>
      <c r="K3967" s="9"/>
    </row>
    <row r="3968" spans="4:11" s="3" customFormat="1" x14ac:dyDescent="0.3">
      <c r="D3968" s="4"/>
      <c r="K3968" s="9"/>
    </row>
    <row r="3969" spans="4:11" s="3" customFormat="1" x14ac:dyDescent="0.3">
      <c r="D3969" s="4"/>
      <c r="K3969" s="9"/>
    </row>
    <row r="3970" spans="4:11" s="3" customFormat="1" x14ac:dyDescent="0.3">
      <c r="D3970" s="4"/>
      <c r="K3970" s="9"/>
    </row>
  </sheetData>
  <sortState xmlns:xlrd2="http://schemas.microsoft.com/office/spreadsheetml/2017/richdata2" ref="A2:N3189">
    <sortCondition ref="B2:B318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листопад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</dc:creator>
  <cp:lastModifiedBy>User</cp:lastModifiedBy>
  <dcterms:created xsi:type="dcterms:W3CDTF">2025-01-07T13:45:46Z</dcterms:created>
  <dcterms:modified xsi:type="dcterms:W3CDTF">2025-01-07T13:46:52Z</dcterms:modified>
</cp:coreProperties>
</file>